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I reb" sheetId="1" r:id="rId1"/>
  </sheets>
  <definedNames>
    <definedName name="Excel_BuiltIn_Print_Titles" localSheetId="0">('I reb'!$A:$E,'I reb'!$A$35:$GX$38)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14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ПРИХОДИ ОД ПРОШЛЕ ГОДИНЕ И ДОДАТЕ РЕФУНДАЦИЈЕ
</t>
        </r>
      </text>
    </comment>
    <comment ref="K51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додати пред крај године
</t>
        </r>
      </text>
    </comment>
    <comment ref="Q14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ПРИХОДИ ОД ПРОШЛЕ ГОДИНЕ И ДОДАТЕ РЕФУНДАЦИЈЕ
</t>
        </r>
      </text>
    </comment>
    <comment ref="Q51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додати пред крај године
</t>
        </r>
      </text>
    </comment>
  </commentList>
</comments>
</file>

<file path=xl/sharedStrings.xml><?xml version="1.0" encoding="utf-8"?>
<sst xmlns="http://schemas.openxmlformats.org/spreadsheetml/2006/main" count="514" uniqueCount="454">
  <si>
    <t>ДОМ ЗДРАВЉА "ЧАЧАК" ЧАЧАК</t>
  </si>
  <si>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</si>
  <si>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</si>
  <si>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</si>
  <si>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</si>
  <si>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</si>
  <si>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</si>
  <si>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>Износ планираних прихода и примања</t>
  </si>
  <si>
    <t xml:space="preserve">Укупно                       </t>
  </si>
  <si>
    <t>Приходи из буџета</t>
  </si>
  <si>
    <t>Сопствена средства</t>
  </si>
  <si>
    <t>Из донација и помоћи</t>
  </si>
  <si>
    <t>Републике</t>
  </si>
  <si>
    <t>Општине</t>
  </si>
  <si>
    <t>ООСО</t>
  </si>
  <si>
    <t>5=6+7+8+9</t>
  </si>
  <si>
    <t>I</t>
  </si>
  <si>
    <t>740000</t>
  </si>
  <si>
    <t xml:space="preserve">ПРИХОДИ  </t>
  </si>
  <si>
    <t xml:space="preserve">ПРИХОДИ ОД  ИМОВИНЕ </t>
  </si>
  <si>
    <t>Приход од имовине који припада имаоцима полиса осигурања Републике Србије</t>
  </si>
  <si>
    <t>ПРИХОДИ ОД ПРОДАЈЕ ДОБАРА И УСЛУГА</t>
  </si>
  <si>
    <t>Приходи од услуга</t>
  </si>
  <si>
    <t>Приходи од закупа непокретности</t>
  </si>
  <si>
    <t xml:space="preserve">МЕШОВИТИ И НЕОДРЕЂЕНИ ПРИХОДИ </t>
  </si>
  <si>
    <t>Мешовити и неодређени приходи</t>
  </si>
  <si>
    <t>II</t>
  </si>
  <si>
    <t>МЕМОРАНДУМСКЕ СТАВКЕ ЗА РЕФУНДАЦИЈУ РАСХОДА</t>
  </si>
  <si>
    <t xml:space="preserve">Меморандумске ставке за рефундацију расхода </t>
  </si>
  <si>
    <t>III</t>
  </si>
  <si>
    <t>ТРАНСФЕРИ ИЗМЕЂУ БУЏЕТСКИХ КОРИСНИКА НА ИСТОМ НИВОУ</t>
  </si>
  <si>
    <t>IV</t>
  </si>
  <si>
    <t>ПРИХОДИ ИЗ БУЏЕТА</t>
  </si>
  <si>
    <t>УКУПНИ ПРИХОДИ И ПРИМАЊА  I+II+III+IV</t>
  </si>
  <si>
    <t>РАСХОДИ И ИЗДАЦИ</t>
  </si>
  <si>
    <t>Група расхода</t>
  </si>
  <si>
    <t xml:space="preserve">Износ планираних расхода и издатака </t>
  </si>
  <si>
    <t>Расходи и издаци из буџета</t>
  </si>
  <si>
    <t xml:space="preserve">ТЕКУЋИ РАСХОДИ И ИЗДАЦИ ЗА НЕФИНАНСИЈСКЕ ИМОВИНЕ </t>
  </si>
  <si>
    <t>РАСХОДИ ЗА ЗАПОСЛЕНЕ (1+2+3+4+5+6)</t>
  </si>
  <si>
    <t>I.1.</t>
  </si>
  <si>
    <t xml:space="preserve">ПЛАТЕ, ДОДАЦИ И НАКНАДЕ ЗАПОСЛЕНИХ (ЗАРАДЕ)  </t>
  </si>
  <si>
    <t>I.1.1</t>
  </si>
  <si>
    <t>ПЛАТЕ, ДОДАЦИ И НАКНАДЕ ЗАПОСЛЕНИХ</t>
  </si>
  <si>
    <t>I.2.</t>
  </si>
  <si>
    <t xml:space="preserve">СОЦИЈАЛНИ ДОПРИНОСИ НА ТЕРЕТ ПОСЛОДАВЦА </t>
  </si>
  <si>
    <t>I.2.1</t>
  </si>
  <si>
    <t xml:space="preserve">Допринос за пензијско и инвалидско осигурање </t>
  </si>
  <si>
    <t>I.2.2</t>
  </si>
  <si>
    <t>Допринос за здравствено осигурање</t>
  </si>
  <si>
    <t>I.3.</t>
  </si>
  <si>
    <t>НАКНАДЕ У НАТУРИ</t>
  </si>
  <si>
    <t>I.3.1</t>
  </si>
  <si>
    <t xml:space="preserve">Превоз на посао и са посла </t>
  </si>
  <si>
    <t>I.3.2</t>
  </si>
  <si>
    <t>Поклони за децу запослених</t>
  </si>
  <si>
    <t>1.4.</t>
  </si>
  <si>
    <t xml:space="preserve">СОЦИЈАЛНА ДАВАЊА ЗАПОСЛЕНИМА </t>
  </si>
  <si>
    <t>1.4.1</t>
  </si>
  <si>
    <t>Исплата накнада за време одсуствовања с посла на терет фондова</t>
  </si>
  <si>
    <t>I.4.2</t>
  </si>
  <si>
    <t>Отпремнине и помоћи</t>
  </si>
  <si>
    <t>I.4.3</t>
  </si>
  <si>
    <t>Помоћ у медицинском лечењу запосленог или чланова уже породице и друге помоћи запосленом</t>
  </si>
  <si>
    <t>I.5.</t>
  </si>
  <si>
    <t>I.6.</t>
  </si>
  <si>
    <t>КОРИШЋЕЊЕ УСЛУГА И РОБА (1+2+3+4+5+6)</t>
  </si>
  <si>
    <t xml:space="preserve">СТАЛНИ ТРОШКОВИ </t>
  </si>
  <si>
    <t>II.1.1.</t>
  </si>
  <si>
    <t>II.1.2</t>
  </si>
  <si>
    <t>II.1.3</t>
  </si>
  <si>
    <t>II.1.4</t>
  </si>
  <si>
    <t>II.1.5</t>
  </si>
  <si>
    <t>II.1.6</t>
  </si>
  <si>
    <t xml:space="preserve">ТРОШКОВИ ПУТОВАЊА </t>
  </si>
  <si>
    <t>II.2.1</t>
  </si>
  <si>
    <t>Трошкови путовања у оквиру редовног рада</t>
  </si>
  <si>
    <t xml:space="preserve">УСЛУГЕ ПО УГОВОРУ </t>
  </si>
  <si>
    <t>II.3.1</t>
  </si>
  <si>
    <t>Административне услуге</t>
  </si>
  <si>
    <t>II.3.2</t>
  </si>
  <si>
    <t>Компјутерске услуге</t>
  </si>
  <si>
    <t>II.3.3</t>
  </si>
  <si>
    <t xml:space="preserve">Услуге образовања и усавршавања   </t>
  </si>
  <si>
    <t>II.3.4</t>
  </si>
  <si>
    <t>Услуге информисања</t>
  </si>
  <si>
    <t>II.3.5</t>
  </si>
  <si>
    <t xml:space="preserve">Стручне услуге  </t>
  </si>
  <si>
    <t>II.3.6</t>
  </si>
  <si>
    <t>Услуге за домаћинство и угоститељство</t>
  </si>
  <si>
    <t>II.3.7</t>
  </si>
  <si>
    <t>Репрезентација</t>
  </si>
  <si>
    <t>II.3.8</t>
  </si>
  <si>
    <t>Остале опште услуге</t>
  </si>
  <si>
    <t xml:space="preserve">СПЕЦИЈАЛИЗОВАНЕ УСЛУГЕ </t>
  </si>
  <si>
    <t>II.4.1</t>
  </si>
  <si>
    <t>Медицинске услуге</t>
  </si>
  <si>
    <t>II.4.2.</t>
  </si>
  <si>
    <t>Услуге очувања животне средине, науке и геодетске услуге</t>
  </si>
  <si>
    <t>II.4.3.</t>
  </si>
  <si>
    <t>Остале специјализоване услуге</t>
  </si>
  <si>
    <t xml:space="preserve">ТЕКУЋЕ ПОПРАВКЕ И ОДРЖАВАЊЕ </t>
  </si>
  <si>
    <t>II.5.1</t>
  </si>
  <si>
    <t>Текуће поправке и одржавање објеката</t>
  </si>
  <si>
    <t>II.5.2</t>
  </si>
  <si>
    <t>МАТЕРИЈАЛ</t>
  </si>
  <si>
    <t>II.6.1</t>
  </si>
  <si>
    <t>II.6.2</t>
  </si>
  <si>
    <t>Материјали за образовање и усавршавање запослених</t>
  </si>
  <si>
    <t>II.6.3</t>
  </si>
  <si>
    <t>II.6.4</t>
  </si>
  <si>
    <t>Материјали за очување животне средине</t>
  </si>
  <si>
    <t>II.6.5</t>
  </si>
  <si>
    <t>II.6.6</t>
  </si>
  <si>
    <t>II.6.7</t>
  </si>
  <si>
    <t>Материјали за посебне намене</t>
  </si>
  <si>
    <t>ОТПЛАТА КАМАТА И ТЕКУЋИ ТРОШКОВИ ЗАДУЖИВАЊА</t>
  </si>
  <si>
    <t>Казне за кашњење</t>
  </si>
  <si>
    <t>ОСТАЛЕ ДОТАЦИЈЕ И ТРАНСФЕРИ</t>
  </si>
  <si>
    <t>Остале текуће дотације по закону - инвалиди</t>
  </si>
  <si>
    <t>V</t>
  </si>
  <si>
    <t>ДОТАЦИЈЕ ОСТАЛИМ НЕПРОФИТНИМ ИНСТИТУЦИЈАМА</t>
  </si>
  <si>
    <t xml:space="preserve">Дотације осталим непрофитним институцијама </t>
  </si>
  <si>
    <t>VI</t>
  </si>
  <si>
    <t>ПОРЕЗИ, ОБАВЕЗНЕ ТАКСЕ, КАЗНЕ И ПЕНАЛИ</t>
  </si>
  <si>
    <t>VII</t>
  </si>
  <si>
    <t>НОВЧАНЕ КАЗНЕ И ПЕНАЛИ ПО РЕШЕЊУ СУДОВА</t>
  </si>
  <si>
    <t>Новчане казне и пенали по решењу судова</t>
  </si>
  <si>
    <t>VIII</t>
  </si>
  <si>
    <t>510000</t>
  </si>
  <si>
    <t>ОСНОВНА СРЕДСТВА</t>
  </si>
  <si>
    <t>Капитално одржавање</t>
  </si>
  <si>
    <t>Административна опрема</t>
  </si>
  <si>
    <t>Медицинска опрема</t>
  </si>
  <si>
    <t>УКУПНИ РАСХОДИ И ИЗДАЦИ I+II+III+IV+V+VI+VII+VIII</t>
  </si>
  <si>
    <t>САСТАВИЛА</t>
  </si>
  <si>
    <t>_______________________________</t>
  </si>
  <si>
    <t>Маријана Вранеш</t>
  </si>
  <si>
    <t>шеф рачуноводства</t>
  </si>
  <si>
    <t>др Александар Пајовић</t>
  </si>
  <si>
    <t>781111</t>
  </si>
  <si>
    <t>1.4.1.1</t>
  </si>
  <si>
    <t>Породиљско боловање</t>
  </si>
  <si>
    <t>1.4.1.2</t>
  </si>
  <si>
    <t xml:space="preserve">Боловање преко 30 дана </t>
  </si>
  <si>
    <t>1.4.1.3</t>
  </si>
  <si>
    <t>Инвалидност другог степена</t>
  </si>
  <si>
    <t>I.4.2.1</t>
  </si>
  <si>
    <t>Отпремнине приликом одласка у пензију</t>
  </si>
  <si>
    <t>I.4.2.2</t>
  </si>
  <si>
    <t>Помоћ у случају смрти запосленог или члана уже породице</t>
  </si>
  <si>
    <t>I.4.3.1</t>
  </si>
  <si>
    <t>Помоћ у медицинском лечењу запосленог или члана уже породице</t>
  </si>
  <si>
    <t>I.5.1</t>
  </si>
  <si>
    <t>Накнада трошкова за одвојен живот од породице</t>
  </si>
  <si>
    <t>I.5.2</t>
  </si>
  <si>
    <t>Накнаде трошкова за превоз на посао и са посла</t>
  </si>
  <si>
    <t>I.5.3</t>
  </si>
  <si>
    <t>Накнаде трошкова за превоз на посао и са посла по путном налогу</t>
  </si>
  <si>
    <t>I.6.1</t>
  </si>
  <si>
    <t>Јубиларне награде запосленима</t>
  </si>
  <si>
    <t>I.6.2</t>
  </si>
  <si>
    <t>Накнаде члановима управних и надзорних одбора</t>
  </si>
  <si>
    <t>II.1.1.1</t>
  </si>
  <si>
    <t>Платни промет</t>
  </si>
  <si>
    <t>II.1.1.2</t>
  </si>
  <si>
    <t>Банкарске услуге</t>
  </si>
  <si>
    <t>II.1.2.1</t>
  </si>
  <si>
    <t>Електрична енергија</t>
  </si>
  <si>
    <t>II.1.2.2</t>
  </si>
  <si>
    <t>Природни гас</t>
  </si>
  <si>
    <t>II.1.2.3</t>
  </si>
  <si>
    <t>Лож уље</t>
  </si>
  <si>
    <t>II.1.2.4</t>
  </si>
  <si>
    <t>Централно грејање</t>
  </si>
  <si>
    <t>II.1.3.1</t>
  </si>
  <si>
    <t>Водовод и канализација</t>
  </si>
  <si>
    <t>II.1.3.2</t>
  </si>
  <si>
    <t>Одвоз отпада</t>
  </si>
  <si>
    <t>II.1.3.3</t>
  </si>
  <si>
    <t>Услуге чишћења</t>
  </si>
  <si>
    <t>II.1.4.1</t>
  </si>
  <si>
    <t>Телефон, телекс и телефакс</t>
  </si>
  <si>
    <t>II.1.4.2</t>
  </si>
  <si>
    <t>Радио веза</t>
  </si>
  <si>
    <t>II.1.4.3</t>
  </si>
  <si>
    <t>Интернет и слично</t>
  </si>
  <si>
    <t>II.1.4.4</t>
  </si>
  <si>
    <t>Услуге мобилног телефона</t>
  </si>
  <si>
    <t>II.1.4.5</t>
  </si>
  <si>
    <t>Поштанске услуге</t>
  </si>
  <si>
    <t>II.1.4.6</t>
  </si>
  <si>
    <t>Пошта доплатне марке</t>
  </si>
  <si>
    <t>II.1.4.7</t>
  </si>
  <si>
    <t>Остале услуге комуникација</t>
  </si>
  <si>
    <t>II.1.5.1</t>
  </si>
  <si>
    <t>Осигурање возила</t>
  </si>
  <si>
    <t>II.1.5.2</t>
  </si>
  <si>
    <t>Осигурање опреме</t>
  </si>
  <si>
    <t>II.1.5.3</t>
  </si>
  <si>
    <t>Осигурање имовине</t>
  </si>
  <si>
    <t>II.1.5.4</t>
  </si>
  <si>
    <t>Осигурање запослених у случају несреће</t>
  </si>
  <si>
    <t>II.1.6.1</t>
  </si>
  <si>
    <t>Закуп медицинске и лабораторијске опреме</t>
  </si>
  <si>
    <t>II.2.2.1</t>
  </si>
  <si>
    <t>Дневнице (исхрана) за путовање у оквиру редовног рада</t>
  </si>
  <si>
    <t>II.2.2.2</t>
  </si>
  <si>
    <t>II.2.2.3</t>
  </si>
  <si>
    <t>Трошкови путовања у оквиру редовног рада (по путном налогу)</t>
  </si>
  <si>
    <t>II.2.2.4</t>
  </si>
  <si>
    <t>Трошкови путовања у оквиру редовног рада (путарина)</t>
  </si>
  <si>
    <t>II.2.2.5</t>
  </si>
  <si>
    <t>Трошкови путовања у оквиру редовног рада (замена посла)</t>
  </si>
  <si>
    <t>II.3.1.1</t>
  </si>
  <si>
    <t>Остале административне услуге</t>
  </si>
  <si>
    <t>II.3.2.1</t>
  </si>
  <si>
    <t>Услуге одржавања софтвера</t>
  </si>
  <si>
    <t>II.3.3.1</t>
  </si>
  <si>
    <t>Услуге образовања и усавршавања запослених</t>
  </si>
  <si>
    <t>II.3.3.2</t>
  </si>
  <si>
    <t>Едукација запослених</t>
  </si>
  <si>
    <t>II.3.3.3</t>
  </si>
  <si>
    <t>Котизација за семинаре</t>
  </si>
  <si>
    <t>II.3.4.1</t>
  </si>
  <si>
    <t>Објављивање тендера и информативних огласа</t>
  </si>
  <si>
    <t>II.3.5.1</t>
  </si>
  <si>
    <t>II.3.5.2</t>
  </si>
  <si>
    <t>Остале стручне услуге - волонтери</t>
  </si>
  <si>
    <t>II.3.5.3</t>
  </si>
  <si>
    <t>Остале стручне услуге - надзор</t>
  </si>
  <si>
    <t>II.3.5.4</t>
  </si>
  <si>
    <t>Остале стручне услуге</t>
  </si>
  <si>
    <t>II.3.6.1</t>
  </si>
  <si>
    <t>Услуге прања веша</t>
  </si>
  <si>
    <t>II.3.7.1</t>
  </si>
  <si>
    <t>II.3.7.2</t>
  </si>
  <si>
    <t>Поклони</t>
  </si>
  <si>
    <t>II.3.8.1</t>
  </si>
  <si>
    <t>II.4.1.1</t>
  </si>
  <si>
    <t>Услуге јавног здравства - инспекција и анализа</t>
  </si>
  <si>
    <t>II.4.1.2</t>
  </si>
  <si>
    <t>Остале медицинске услуге</t>
  </si>
  <si>
    <t>II.4.2.1</t>
  </si>
  <si>
    <t>Услуге очувања животне средине</t>
  </si>
  <si>
    <t>II.4.3.1</t>
  </si>
  <si>
    <t>Остале специјализоиване  услуге - медицина рада</t>
  </si>
  <si>
    <t>II.5.1.1</t>
  </si>
  <si>
    <t>Зидарски радови</t>
  </si>
  <si>
    <t>II.5.1.2</t>
  </si>
  <si>
    <t>Столарски радови</t>
  </si>
  <si>
    <t>II.5.1.3</t>
  </si>
  <si>
    <t>Молерски радови</t>
  </si>
  <si>
    <t>II.5.1.4</t>
  </si>
  <si>
    <t>Радови на крову</t>
  </si>
  <si>
    <t>II.5.1.5</t>
  </si>
  <si>
    <t>Радови на водоводу и канализацији</t>
  </si>
  <si>
    <t>II.5.1.6</t>
  </si>
  <si>
    <t>II.5.1.7</t>
  </si>
  <si>
    <t>Електричне инсталације</t>
  </si>
  <si>
    <t>II.5.1.8</t>
  </si>
  <si>
    <t>Радови на комуникационим инсталацијама</t>
  </si>
  <si>
    <t>II.5.1.9</t>
  </si>
  <si>
    <t>Остале услуге и материјали за текуће поправке и одржавање зграда</t>
  </si>
  <si>
    <t>II.5.2.1</t>
  </si>
  <si>
    <t>Поправка и одржавање опреме за саобраћај</t>
  </si>
  <si>
    <t>II.5.2.1.1</t>
  </si>
  <si>
    <t>Сервис возила</t>
  </si>
  <si>
    <t>II.5.2.1.2</t>
  </si>
  <si>
    <t>Остале поправке опреме за саобраћај</t>
  </si>
  <si>
    <t>II.5.2.2</t>
  </si>
  <si>
    <t>Текуће поправке и одржавање административне опреме</t>
  </si>
  <si>
    <t>II.5.2.2.1</t>
  </si>
  <si>
    <t>Намештај</t>
  </si>
  <si>
    <t>II.5.2.2.2</t>
  </si>
  <si>
    <t>Рачунарска опрема</t>
  </si>
  <si>
    <t>II.5.2.2.3</t>
  </si>
  <si>
    <t>Опрема за комуникацију</t>
  </si>
  <si>
    <t>II.5.2.2.4</t>
  </si>
  <si>
    <t>Електронска и фотографска опрема</t>
  </si>
  <si>
    <t>II.5.2.2.5</t>
  </si>
  <si>
    <t>Опрема за домаћинство и угоститељство</t>
  </si>
  <si>
    <t>II.5.2.2.6</t>
  </si>
  <si>
    <t>Сервис уградне опреме</t>
  </si>
  <si>
    <t>II.5.2.4</t>
  </si>
  <si>
    <t>Текуће поправке и одржавање медицинске опреме</t>
  </si>
  <si>
    <t>II.5.2.4.1</t>
  </si>
  <si>
    <t>II.5.2.4.2</t>
  </si>
  <si>
    <t>Сервис стоматолошке опреме</t>
  </si>
  <si>
    <t>II.5.2.4.3</t>
  </si>
  <si>
    <t>Текуће поправке и одржавање лабораторијске опреме</t>
  </si>
  <si>
    <t>II.5.2.4.4</t>
  </si>
  <si>
    <t>Текуће поправке и одржавање мерних и контролних инструмената</t>
  </si>
  <si>
    <t>II.5.2.4.5</t>
  </si>
  <si>
    <t>Текуће поправке и одржавање опреме за јавну бетбедност</t>
  </si>
  <si>
    <t>II.6.1.1</t>
  </si>
  <si>
    <t>Канцеларијски материјал</t>
  </si>
  <si>
    <t>II.6.1.2</t>
  </si>
  <si>
    <t>Здравствени обрасци</t>
  </si>
  <si>
    <t>II.6.1.3</t>
  </si>
  <si>
    <t>Канцеларијски материјал за рачунарску опрему</t>
  </si>
  <si>
    <t>II.6.1.4</t>
  </si>
  <si>
    <t>Радна униформа</t>
  </si>
  <si>
    <t>II.6.1.5</t>
  </si>
  <si>
    <t>Цвеће и зеленило</t>
  </si>
  <si>
    <t>II.6.2.1</t>
  </si>
  <si>
    <t>Материјали за образовање и усавршавање запослених -стручна литература</t>
  </si>
  <si>
    <t>II.6.3.1</t>
  </si>
  <si>
    <t>Бензин</t>
  </si>
  <si>
    <t>II.6.3.2</t>
  </si>
  <si>
    <t>Дизел гориво</t>
  </si>
  <si>
    <t>II.6.3.3</t>
  </si>
  <si>
    <t>Уља и мазива</t>
  </si>
  <si>
    <t>II.6.3.4</t>
  </si>
  <si>
    <t>Ауто гуме</t>
  </si>
  <si>
    <t>II.6.3.5</t>
  </si>
  <si>
    <t>Ауто делови</t>
  </si>
  <si>
    <t>II.6.4.1</t>
  </si>
  <si>
    <t>Остали материјал за очување животне средине</t>
  </si>
  <si>
    <t>II.6.5.1</t>
  </si>
  <si>
    <t>Материјал за медицинске тестове</t>
  </si>
  <si>
    <t>II.6.5.1.1</t>
  </si>
  <si>
    <t>Санитетски материјал</t>
  </si>
  <si>
    <t>II.6.5.1.2</t>
  </si>
  <si>
    <t>Материјал за дезинфекцију</t>
  </si>
  <si>
    <t>II.6.5.1.3</t>
  </si>
  <si>
    <t>Медицински кисеоник</t>
  </si>
  <si>
    <t>II.6.5.2</t>
  </si>
  <si>
    <t>Материјал за лабораторијске тестове</t>
  </si>
  <si>
    <t>II.6.5.3</t>
  </si>
  <si>
    <t xml:space="preserve">Лекови </t>
  </si>
  <si>
    <t>II.6.5.3.1</t>
  </si>
  <si>
    <t>Лекови у ЗУ</t>
  </si>
  <si>
    <t>II.6.5.3.2</t>
  </si>
  <si>
    <t>Соматулин, Сандостатин</t>
  </si>
  <si>
    <t>II.6.5.4</t>
  </si>
  <si>
    <t>Остали медицински материјали</t>
  </si>
  <si>
    <t>II.6.5.4.1</t>
  </si>
  <si>
    <t>Стоматолошки потрошни материјал</t>
  </si>
  <si>
    <t>II.6.5.4.2</t>
  </si>
  <si>
    <t>Остали санитетски материјал</t>
  </si>
  <si>
    <t>II.6.6.1</t>
  </si>
  <si>
    <t>Средства за оржавање хигијене</t>
  </si>
  <si>
    <t>II.6.6.2</t>
  </si>
  <si>
    <t>Инвентар за одржавање хигијене</t>
  </si>
  <si>
    <t>II.6.6.3</t>
  </si>
  <si>
    <t>Остали материјал за одржавање хигијене</t>
  </si>
  <si>
    <t>II.6.6.4</t>
  </si>
  <si>
    <t>Текстилни материјал</t>
  </si>
  <si>
    <t>II.6.7.1</t>
  </si>
  <si>
    <t>Електро материјал</t>
  </si>
  <si>
    <t>II.6.7.2</t>
  </si>
  <si>
    <t>Водоводни материјал</t>
  </si>
  <si>
    <t>II.6.7.3</t>
  </si>
  <si>
    <t>Браварско лимарски материјал</t>
  </si>
  <si>
    <t>II.6.7.4</t>
  </si>
  <si>
    <t>Материјал за котларницу</t>
  </si>
  <si>
    <t>II.6.7.5</t>
  </si>
  <si>
    <t>Молерски материјал</t>
  </si>
  <si>
    <t>II.6.7.6</t>
  </si>
  <si>
    <t>Остали технички материјал</t>
  </si>
  <si>
    <t>II.6.7.7</t>
  </si>
  <si>
    <t>Пропан бутан у боцама и течни азот</t>
  </si>
  <si>
    <t>II.6.7.8</t>
  </si>
  <si>
    <t>Резервни делови</t>
  </si>
  <si>
    <t>II.6.7.9</t>
  </si>
  <si>
    <t>Остали резервни делови</t>
  </si>
  <si>
    <t>II.6.7.10</t>
  </si>
  <si>
    <t>Резервни делови за медицинску опрему</t>
  </si>
  <si>
    <t>II.6.7.11</t>
  </si>
  <si>
    <t>Со за путеве</t>
  </si>
  <si>
    <t>IV.1</t>
  </si>
  <si>
    <t>V.1.</t>
  </si>
  <si>
    <t>VI.1.1</t>
  </si>
  <si>
    <t>Регистрација возила</t>
  </si>
  <si>
    <t>VI.1.2</t>
  </si>
  <si>
    <t>Порез на добит правних лица</t>
  </si>
  <si>
    <t>VI.1.3</t>
  </si>
  <si>
    <t>Републичке таксе</t>
  </si>
  <si>
    <t>VI.1.4</t>
  </si>
  <si>
    <t>Судске таксе</t>
  </si>
  <si>
    <t>VI.1.5</t>
  </si>
  <si>
    <t>Општинске таксе</t>
  </si>
  <si>
    <t>VI.1.6</t>
  </si>
  <si>
    <t>Републичке казне</t>
  </si>
  <si>
    <t>VII.1.</t>
  </si>
  <si>
    <t>VII.2.</t>
  </si>
  <si>
    <t>Новчане казне и пенали по решењу судова ВАНСУДСКО ПОРАВНАЊЕ</t>
  </si>
  <si>
    <t>VII.3.</t>
  </si>
  <si>
    <t>Новчане казне и пенали по решењу судова КАМАТЕ</t>
  </si>
  <si>
    <t>VIII.1</t>
  </si>
  <si>
    <t>VIII.1.1</t>
  </si>
  <si>
    <t>VIII.1.2</t>
  </si>
  <si>
    <t>VIII.1.3</t>
  </si>
  <si>
    <t>Мерни и контролни инструменти</t>
  </si>
  <si>
    <t xml:space="preserve">Опрема за домаћинство  </t>
  </si>
  <si>
    <t xml:space="preserve"> ДИРЕКТОР</t>
  </si>
  <si>
    <t>prevoz</t>
  </si>
  <si>
    <t>sandostatin</t>
  </si>
  <si>
    <t>energenti</t>
  </si>
  <si>
    <t>OMT+štete</t>
  </si>
  <si>
    <t>инвалиди</t>
  </si>
  <si>
    <t>стоматологија</t>
  </si>
  <si>
    <t>san.mat</t>
  </si>
  <si>
    <t>дезинфекција</t>
  </si>
  <si>
    <t>stom potr</t>
  </si>
  <si>
    <t>jub i otpr</t>
  </si>
  <si>
    <t>inv</t>
  </si>
  <si>
    <t>participacija</t>
  </si>
  <si>
    <t>II.2.2</t>
  </si>
  <si>
    <t>Трошкови смештаја на службеном путу</t>
  </si>
  <si>
    <t>Остали материјали за домаћинство</t>
  </si>
  <si>
    <t>ugovor</t>
  </si>
  <si>
    <t>Медицинска и лабораторијска опрема</t>
  </si>
  <si>
    <t>prih</t>
  </si>
  <si>
    <t>Одвоз опасног отпада</t>
  </si>
  <si>
    <t>II.1.3.4</t>
  </si>
  <si>
    <t>II.1.6.2</t>
  </si>
  <si>
    <t>Закуп простора</t>
  </si>
  <si>
    <t>Казне по решењу правосудних органа - КАМАТА</t>
  </si>
  <si>
    <t>II.6.6.5</t>
  </si>
  <si>
    <t>Електронска опрема</t>
  </si>
  <si>
    <t>Остали порези</t>
  </si>
  <si>
    <t>Обавезне таксе</t>
  </si>
  <si>
    <t>Трошкови платног промета и банкарске услуге</t>
  </si>
  <si>
    <t>Енергетске услуге</t>
  </si>
  <si>
    <t>Комуналне услуге</t>
  </si>
  <si>
    <t>Услуге комуникације</t>
  </si>
  <si>
    <t>Трошкови осигурања</t>
  </si>
  <si>
    <t>Закуп имовине иопреме</t>
  </si>
  <si>
    <t>Накнаде трошкова за запослене</t>
  </si>
  <si>
    <t xml:space="preserve">Награде запосленима и остали посебни расходи </t>
  </si>
  <si>
    <t>Текуће поправке и одржавање опреме</t>
  </si>
  <si>
    <t>Административни материјал</t>
  </si>
  <si>
    <t>Материјали за саобраћај</t>
  </si>
  <si>
    <t>Медицински и лабораторијски материјали</t>
  </si>
  <si>
    <t>Материјали за одржавање хигијене и угоститељство</t>
  </si>
  <si>
    <t>ubaciti 414419</t>
  </si>
  <si>
    <t>11=12+13+14+15+16</t>
  </si>
  <si>
    <t>Износ планираних прихода и примања I ребаланс</t>
  </si>
  <si>
    <t xml:space="preserve">ПРВИ РЕБАЛАНС ФИНАНСИЈСКОГ ПЛАНА ЗА 2020. ГОДИНУ </t>
  </si>
  <si>
    <t>Износ планираних расхода и издатака  I ребаланс</t>
  </si>
  <si>
    <t>UBACITI POATE MINISTARSTVO</t>
  </si>
  <si>
    <t>pOate</t>
  </si>
  <si>
    <t>OeNovi</t>
  </si>
  <si>
    <t>Oekovi i refundacije od omt</t>
  </si>
  <si>
    <t>san.mat+Oab+stom</t>
  </si>
  <si>
    <t>energenti ugovor i dodat dug razOika između prenetog i ugovora iz 2019 pOus preneto neutrošeno</t>
  </si>
  <si>
    <t>OMT+štete+ostatak po ugovoru 2019 što nisu preneOi+particip što je ostaOo nepotroš</t>
  </si>
  <si>
    <t>otpr+jubiO+pomoć</t>
  </si>
  <si>
    <t>boOovanje,</t>
  </si>
  <si>
    <t>razOika</t>
  </si>
  <si>
    <t>ostaOi mat tr</t>
  </si>
  <si>
    <t>741400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</si>
</sst>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"/>
    <numFmt numFmtId="165" formatCode="#,##0.000000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Cambria"/>
      <family val="1"/>
    </font>
    <font>
      <sz val="9"/>
      <color indexed="10"/>
      <name val="Cambria"/>
      <family val="1"/>
    </font>
    <font>
      <b/>
      <sz val="11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i/>
      <sz val="11"/>
      <name val="Cambria"/>
      <family val="1"/>
    </font>
    <font>
      <sz val="25"/>
      <color indexed="8"/>
      <name val="Cambria"/>
      <family val="1"/>
    </font>
    <font>
      <sz val="10"/>
      <color indexed="10"/>
      <name val="Cambria"/>
      <family val="1"/>
    </font>
    <font>
      <b/>
      <i/>
      <sz val="10"/>
      <name val="Cambria"/>
      <family val="1"/>
    </font>
    <font>
      <sz val="7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4" fillId="0" borderId="0" xfId="55" applyFont="1" applyFill="1" applyAlignment="1">
      <alignment vertical="center"/>
      <protection/>
    </xf>
    <xf numFmtId="0" fontId="4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164" fontId="8" fillId="0" borderId="12" xfId="55" applyNumberFormat="1" applyFont="1" applyFill="1" applyBorder="1" applyAlignment="1">
      <alignment horizontal="right" vertical="center" wrapText="1"/>
      <protection/>
    </xf>
    <xf numFmtId="164" fontId="8" fillId="0" borderId="12" xfId="0" applyNumberFormat="1" applyFont="1" applyFill="1" applyBorder="1" applyAlignment="1">
      <alignment horizontal="right" vertical="center" wrapText="1"/>
    </xf>
    <xf numFmtId="3" fontId="8" fillId="0" borderId="12" xfId="55" applyNumberFormat="1" applyFont="1" applyFill="1" applyBorder="1" applyAlignment="1">
      <alignment horizontal="right" vertical="center" wrapText="1"/>
      <protection/>
    </xf>
    <xf numFmtId="164" fontId="8" fillId="0" borderId="13" xfId="55" applyNumberFormat="1" applyFont="1" applyFill="1" applyBorder="1" applyAlignment="1">
      <alignment horizontal="right" vertical="center" wrapText="1"/>
      <protection/>
    </xf>
    <xf numFmtId="164" fontId="8" fillId="0" borderId="13" xfId="0" applyNumberFormat="1" applyFont="1" applyFill="1" applyBorder="1" applyAlignment="1">
      <alignment horizontal="right" vertical="center" wrapText="1"/>
    </xf>
    <xf numFmtId="3" fontId="8" fillId="0" borderId="13" xfId="55" applyNumberFormat="1" applyFont="1" applyFill="1" applyBorder="1" applyAlignment="1">
      <alignment horizontal="right" vertical="center" wrapText="1"/>
      <protection/>
    </xf>
    <xf numFmtId="164" fontId="8" fillId="0" borderId="10" xfId="55" applyNumberFormat="1" applyFont="1" applyFill="1" applyBorder="1" applyAlignment="1">
      <alignment horizontal="right" vertical="center" wrapText="1"/>
      <protection/>
    </xf>
    <xf numFmtId="164" fontId="8" fillId="0" borderId="10" xfId="0" applyNumberFormat="1" applyFont="1" applyFill="1" applyBorder="1" applyAlignment="1">
      <alignment horizontal="right" vertical="center" wrapText="1"/>
    </xf>
    <xf numFmtId="3" fontId="9" fillId="0" borderId="10" xfId="55" applyNumberFormat="1" applyFont="1" applyFill="1" applyBorder="1" applyAlignment="1">
      <alignment horizontal="right" vertical="center" wrapText="1"/>
      <protection/>
    </xf>
    <xf numFmtId="3" fontId="8" fillId="0" borderId="10" xfId="55" applyNumberFormat="1" applyFont="1" applyFill="1" applyBorder="1" applyAlignment="1">
      <alignment horizontal="right" vertical="center" wrapText="1"/>
      <protection/>
    </xf>
    <xf numFmtId="164" fontId="9" fillId="0" borderId="10" xfId="55" applyNumberFormat="1" applyFont="1" applyFill="1" applyBorder="1" applyAlignment="1">
      <alignment horizontal="right" vertical="center" wrapText="1"/>
      <protection/>
    </xf>
    <xf numFmtId="164" fontId="9" fillId="0" borderId="10" xfId="0" applyNumberFormat="1" applyFont="1" applyFill="1" applyBorder="1" applyAlignment="1">
      <alignment horizontal="right" vertical="center" wrapText="1"/>
    </xf>
    <xf numFmtId="164" fontId="9" fillId="0" borderId="11" xfId="55" applyNumberFormat="1" applyFont="1" applyFill="1" applyBorder="1" applyAlignment="1">
      <alignment horizontal="right" vertical="center" wrapText="1"/>
      <protection/>
    </xf>
    <xf numFmtId="164" fontId="9" fillId="0" borderId="11" xfId="0" applyNumberFormat="1" applyFont="1" applyFill="1" applyBorder="1" applyAlignment="1">
      <alignment horizontal="right" vertical="center" wrapText="1"/>
    </xf>
    <xf numFmtId="3" fontId="9" fillId="0" borderId="11" xfId="55" applyNumberFormat="1" applyFont="1" applyFill="1" applyBorder="1" applyAlignment="1">
      <alignment horizontal="right" vertical="center" wrapText="1"/>
      <protection/>
    </xf>
    <xf numFmtId="164" fontId="9" fillId="0" borderId="13" xfId="55" applyNumberFormat="1" applyFont="1" applyFill="1" applyBorder="1" applyAlignment="1">
      <alignment horizontal="right" vertical="center" wrapText="1"/>
      <protection/>
    </xf>
    <xf numFmtId="164" fontId="9" fillId="0" borderId="13" xfId="0" applyNumberFormat="1" applyFont="1" applyFill="1" applyBorder="1" applyAlignment="1">
      <alignment horizontal="right" vertical="center" wrapText="1"/>
    </xf>
    <xf numFmtId="3" fontId="9" fillId="0" borderId="13" xfId="55" applyNumberFormat="1" applyFont="1" applyFill="1" applyBorder="1" applyAlignment="1">
      <alignment horizontal="right" vertical="center" wrapText="1"/>
      <protection/>
    </xf>
    <xf numFmtId="16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2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>
      <alignment vertical="center"/>
    </xf>
    <xf numFmtId="0" fontId="3" fillId="0" borderId="0" xfId="55" applyFont="1" applyFill="1" applyBorder="1" applyAlignment="1">
      <alignment horizontal="right" vertical="center" wrapText="1"/>
      <protection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55" applyFont="1" applyFill="1" applyAlignment="1">
      <alignment horizontal="left" vertical="center"/>
      <protection/>
    </xf>
    <xf numFmtId="3" fontId="8" fillId="0" borderId="13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4" xfId="55" applyNumberFormat="1" applyFont="1" applyFill="1" applyBorder="1" applyAlignment="1">
      <alignment horizontal="right" vertical="center" wrapText="1"/>
      <protection/>
    </xf>
    <xf numFmtId="3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5" xfId="55" applyNumberFormat="1" applyFont="1" applyFill="1" applyBorder="1" applyAlignment="1">
      <alignment horizontal="right" vertical="center" wrapText="1"/>
      <protection/>
    </xf>
    <xf numFmtId="3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4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/>
    </xf>
    <xf numFmtId="3" fontId="3" fillId="0" borderId="0" xfId="55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6" xfId="55" applyNumberFormat="1" applyFont="1" applyFill="1" applyBorder="1" applyAlignment="1">
      <alignment horizontal="right" vertical="center" wrapText="1"/>
      <protection/>
    </xf>
    <xf numFmtId="3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5" applyFont="1" applyFill="1" applyBorder="1" applyAlignment="1">
      <alignment horizontal="right" vertical="center" wrapText="1"/>
      <protection/>
    </xf>
    <xf numFmtId="3" fontId="4" fillId="0" borderId="0" xfId="55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3" fontId="8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/>
    </xf>
    <xf numFmtId="3" fontId="2" fillId="19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horizontal="left" vertical="center"/>
    </xf>
    <xf numFmtId="4" fontId="55" fillId="0" borderId="0" xfId="0" applyNumberFormat="1" applyFont="1" applyFill="1" applyAlignment="1">
      <alignment vertical="center"/>
    </xf>
    <xf numFmtId="0" fontId="14" fillId="0" borderId="0" xfId="55" applyFont="1" applyFill="1" applyAlignment="1">
      <alignment vertical="center"/>
      <protection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/>
    </xf>
    <xf numFmtId="4" fontId="16" fillId="0" borderId="0" xfId="0" applyNumberFormat="1" applyFont="1" applyFill="1" applyAlignment="1">
      <alignment horizontal="center" vertical="center"/>
    </xf>
    <xf numFmtId="0" fontId="17" fillId="0" borderId="0" xfId="55" applyFont="1" applyFill="1" applyAlignment="1">
      <alignment vertical="center"/>
      <protection/>
    </xf>
    <xf numFmtId="49" fontId="8" fillId="0" borderId="18" xfId="55" applyNumberFormat="1" applyFont="1" applyFill="1" applyBorder="1" applyAlignment="1" applyProtection="1">
      <alignment horizontal="center" vertical="center" wrapText="1"/>
      <protection/>
    </xf>
    <xf numFmtId="49" fontId="9" fillId="0" borderId="18" xfId="55" applyNumberFormat="1" applyFont="1" applyFill="1" applyBorder="1" applyAlignment="1" applyProtection="1">
      <alignment horizontal="center" vertical="center" wrapText="1"/>
      <protection/>
    </xf>
    <xf numFmtId="3" fontId="2" fillId="33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8" fillId="0" borderId="12" xfId="55" applyFont="1" applyFill="1" applyBorder="1" applyAlignment="1">
      <alignment horizontal="center" vertical="center"/>
      <protection/>
    </xf>
    <xf numFmtId="49" fontId="8" fillId="0" borderId="12" xfId="55" applyNumberFormat="1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49" fontId="8" fillId="0" borderId="13" xfId="55" applyNumberFormat="1" applyFont="1" applyFill="1" applyBorder="1" applyAlignment="1">
      <alignment horizontal="center" vertical="center"/>
      <protection/>
    </xf>
    <xf numFmtId="49" fontId="8" fillId="0" borderId="18" xfId="55" applyNumberFormat="1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center" vertical="center"/>
      <protection/>
    </xf>
    <xf numFmtId="49" fontId="8" fillId="0" borderId="10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left" vertical="center" wrapText="1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/>
      <protection/>
    </xf>
    <xf numFmtId="0" fontId="9" fillId="0" borderId="15" xfId="55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left" vertical="center" wrapText="1"/>
      <protection/>
    </xf>
    <xf numFmtId="0" fontId="8" fillId="0" borderId="16" xfId="55" applyFont="1" applyFill="1" applyBorder="1" applyAlignment="1">
      <alignment horizontal="center" vertical="center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vertical="center" wrapText="1"/>
    </xf>
    <xf numFmtId="49" fontId="8" fillId="0" borderId="12" xfId="55" applyNumberFormat="1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 applyProtection="1">
      <alignment horizontal="center" vertical="center" wrapText="1"/>
      <protection/>
    </xf>
    <xf numFmtId="0" fontId="8" fillId="0" borderId="15" xfId="55" applyFont="1" applyFill="1" applyBorder="1" applyAlignment="1" applyProtection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20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 applyProtection="1">
      <alignment vertical="center" wrapText="1"/>
      <protection/>
    </xf>
    <xf numFmtId="0" fontId="9" fillId="0" borderId="11" xfId="55" applyFont="1" applyFill="1" applyBorder="1" applyAlignment="1">
      <alignment vertical="center"/>
      <protection/>
    </xf>
    <xf numFmtId="0" fontId="9" fillId="0" borderId="22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8" fillId="0" borderId="22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9" fillId="0" borderId="15" xfId="55" applyFont="1" applyFill="1" applyBorder="1" applyAlignment="1" applyProtection="1">
      <alignment horizontal="center" vertical="center" wrapText="1"/>
      <protection/>
    </xf>
    <xf numFmtId="0" fontId="9" fillId="0" borderId="23" xfId="5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8" fillId="0" borderId="13" xfId="55" applyFont="1" applyFill="1" applyBorder="1" applyAlignment="1" applyProtection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0" fontId="9" fillId="0" borderId="0" xfId="55" applyFont="1" applyFill="1" applyAlignment="1">
      <alignment vertical="center"/>
      <protection/>
    </xf>
    <xf numFmtId="0" fontId="9" fillId="0" borderId="11" xfId="55" applyFont="1" applyFill="1" applyBorder="1" applyAlignment="1" applyProtection="1">
      <alignment horizontal="center" vertical="center" wrapText="1"/>
      <protection/>
    </xf>
    <xf numFmtId="0" fontId="9" fillId="0" borderId="10" xfId="55" applyFont="1" applyFill="1" applyBorder="1" applyAlignment="1">
      <alignment vertical="center" wrapText="1"/>
      <protection/>
    </xf>
    <xf numFmtId="0" fontId="8" fillId="0" borderId="11" xfId="55" applyFont="1" applyFill="1" applyBorder="1" applyAlignment="1" applyProtection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49" fontId="8" fillId="0" borderId="24" xfId="55" applyNumberFormat="1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vertical="center" wrapText="1"/>
    </xf>
    <xf numFmtId="0" fontId="8" fillId="0" borderId="25" xfId="55" applyFont="1" applyFill="1" applyBorder="1" applyAlignment="1" applyProtection="1">
      <alignment horizontal="center" vertical="center" wrapText="1"/>
      <protection/>
    </xf>
    <xf numFmtId="0" fontId="8" fillId="0" borderId="15" xfId="55" applyFont="1" applyFill="1" applyBorder="1" applyAlignment="1">
      <alignment vertical="center" wrapText="1"/>
      <protection/>
    </xf>
    <xf numFmtId="0" fontId="9" fillId="0" borderId="24" xfId="55" applyFont="1" applyFill="1" applyBorder="1" applyAlignment="1">
      <alignment horizontal="center" vertical="center" wrapText="1"/>
      <protection/>
    </xf>
    <xf numFmtId="0" fontId="12" fillId="0" borderId="19" xfId="0" applyFont="1" applyFill="1" applyBorder="1" applyAlignment="1">
      <alignment vertical="center" wrapText="1"/>
    </xf>
    <xf numFmtId="0" fontId="8" fillId="0" borderId="26" xfId="55" applyFont="1" applyFill="1" applyBorder="1" applyAlignment="1">
      <alignment vertical="center" wrapText="1"/>
      <protection/>
    </xf>
    <xf numFmtId="0" fontId="9" fillId="0" borderId="25" xfId="55" applyFont="1" applyFill="1" applyBorder="1" applyAlignment="1" applyProtection="1">
      <alignment vertical="center" wrapText="1"/>
      <protection/>
    </xf>
    <xf numFmtId="0" fontId="9" fillId="0" borderId="26" xfId="55" applyFont="1" applyFill="1" applyBorder="1" applyAlignment="1">
      <alignment vertical="center"/>
      <protection/>
    </xf>
    <xf numFmtId="0" fontId="9" fillId="0" borderId="27" xfId="55" applyFont="1" applyFill="1" applyBorder="1" applyAlignment="1" applyProtection="1">
      <alignment horizontal="center" vertical="center" wrapText="1"/>
      <protection/>
    </xf>
    <xf numFmtId="0" fontId="9" fillId="0" borderId="17" xfId="55" applyFont="1" applyFill="1" applyBorder="1" applyAlignment="1">
      <alignment vertical="center" wrapText="1"/>
      <protection/>
    </xf>
    <xf numFmtId="0" fontId="8" fillId="0" borderId="28" xfId="55" applyFont="1" applyFill="1" applyBorder="1" applyAlignment="1" applyProtection="1">
      <alignment horizontal="center" vertical="center" wrapText="1"/>
      <protection/>
    </xf>
    <xf numFmtId="0" fontId="8" fillId="0" borderId="26" xfId="55" applyFont="1" applyFill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vertical="center" wrapText="1"/>
    </xf>
    <xf numFmtId="0" fontId="9" fillId="0" borderId="13" xfId="55" applyFont="1" applyFill="1" applyBorder="1" applyAlignment="1">
      <alignment vertical="center"/>
      <protection/>
    </xf>
    <xf numFmtId="0" fontId="9" fillId="0" borderId="13" xfId="55" applyFont="1" applyFill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vertical="center" wrapText="1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9" fillId="0" borderId="24" xfId="55" applyFont="1" applyFill="1" applyBorder="1" applyAlignment="1" applyProtection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22" xfId="55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vertical="center"/>
      <protection/>
    </xf>
    <xf numFmtId="49" fontId="8" fillId="0" borderId="22" xfId="55" applyNumberFormat="1" applyFont="1" applyFill="1" applyBorder="1" applyAlignment="1">
      <alignment horizontal="center" vertical="center"/>
      <protection/>
    </xf>
    <xf numFmtId="0" fontId="8" fillId="0" borderId="19" xfId="55" applyFont="1" applyFill="1" applyBorder="1" applyAlignment="1">
      <alignment vertical="center" wrapText="1"/>
      <protection/>
    </xf>
    <xf numFmtId="0" fontId="9" fillId="0" borderId="25" xfId="55" applyFont="1" applyFill="1" applyBorder="1" applyAlignment="1">
      <alignment vertical="center"/>
      <protection/>
    </xf>
    <xf numFmtId="49" fontId="8" fillId="0" borderId="26" xfId="55" applyNumberFormat="1" applyFont="1" applyFill="1" applyBorder="1" applyAlignment="1" applyProtection="1">
      <alignment horizontal="center" vertical="center" wrapText="1"/>
      <protection/>
    </xf>
    <xf numFmtId="49" fontId="9" fillId="0" borderId="22" xfId="55" applyNumberFormat="1" applyFont="1" applyFill="1" applyBorder="1" applyAlignment="1" applyProtection="1">
      <alignment horizontal="center" vertical="center" wrapText="1"/>
      <protection/>
    </xf>
    <xf numFmtId="0" fontId="19" fillId="0" borderId="25" xfId="55" applyFont="1" applyFill="1" applyBorder="1" applyAlignment="1">
      <alignment vertical="center"/>
      <protection/>
    </xf>
    <xf numFmtId="49" fontId="9" fillId="0" borderId="19" xfId="55" applyNumberFormat="1" applyFont="1" applyFill="1" applyBorder="1" applyAlignment="1">
      <alignment vertical="center" wrapText="1"/>
      <protection/>
    </xf>
    <xf numFmtId="49" fontId="8" fillId="0" borderId="29" xfId="55" applyNumberFormat="1" applyFont="1" applyFill="1" applyBorder="1" applyAlignment="1" applyProtection="1">
      <alignment horizontal="center" vertical="center" wrapText="1"/>
      <protection/>
    </xf>
    <xf numFmtId="49" fontId="9" fillId="0" borderId="24" xfId="55" applyNumberFormat="1" applyFont="1" applyFill="1" applyBorder="1" applyAlignment="1">
      <alignment horizontal="center" vertical="center" wrapText="1"/>
      <protection/>
    </xf>
    <xf numFmtId="0" fontId="9" fillId="0" borderId="30" xfId="55" applyFont="1" applyFill="1" applyBorder="1" applyAlignment="1">
      <alignment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horizontal="left" vertical="center" wrapText="1"/>
      <protection/>
    </xf>
    <xf numFmtId="0" fontId="9" fillId="0" borderId="15" xfId="55" applyFont="1" applyFill="1" applyBorder="1" applyAlignment="1" applyProtection="1">
      <alignment vertical="center" wrapText="1"/>
      <protection/>
    </xf>
    <xf numFmtId="49" fontId="8" fillId="0" borderId="10" xfId="55" applyNumberFormat="1" applyFont="1" applyFill="1" applyBorder="1" applyAlignment="1" applyProtection="1">
      <alignment horizontal="center" vertical="center" wrapText="1"/>
      <protection/>
    </xf>
    <xf numFmtId="49" fontId="8" fillId="0" borderId="0" xfId="55" applyNumberFormat="1" applyFont="1" applyFill="1" applyBorder="1" applyAlignment="1" applyProtection="1">
      <alignment horizontal="center" vertical="center" wrapText="1"/>
      <protection/>
    </xf>
    <xf numFmtId="49" fontId="9" fillId="0" borderId="10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55" applyFont="1" applyFill="1" applyBorder="1" applyAlignment="1">
      <alignment vertical="center"/>
      <protection/>
    </xf>
    <xf numFmtId="49" fontId="8" fillId="0" borderId="22" xfId="55" applyNumberFormat="1" applyFont="1" applyFill="1" applyBorder="1" applyAlignment="1" applyProtection="1">
      <alignment horizontal="center" vertical="center" wrapText="1"/>
      <protection/>
    </xf>
    <xf numFmtId="2" fontId="9" fillId="0" borderId="19" xfId="55" applyNumberFormat="1" applyFont="1" applyFill="1" applyBorder="1" applyAlignment="1">
      <alignment vertical="center" wrapText="1"/>
      <protection/>
    </xf>
    <xf numFmtId="0" fontId="9" fillId="0" borderId="13" xfId="55" applyFont="1" applyFill="1" applyBorder="1" applyAlignment="1" applyProtection="1">
      <alignment vertical="center" wrapText="1"/>
      <protection/>
    </xf>
    <xf numFmtId="0" fontId="9" fillId="0" borderId="20" xfId="55" applyFont="1" applyFill="1" applyBorder="1" applyAlignment="1">
      <alignment vertical="center"/>
      <protection/>
    </xf>
    <xf numFmtId="0" fontId="9" fillId="0" borderId="17" xfId="55" applyFont="1" applyFill="1" applyBorder="1" applyAlignment="1" applyProtection="1">
      <alignment vertical="center" wrapText="1"/>
      <protection/>
    </xf>
    <xf numFmtId="49" fontId="9" fillId="0" borderId="27" xfId="55" applyNumberFormat="1" applyFont="1" applyFill="1" applyBorder="1" applyAlignment="1" applyProtection="1">
      <alignment horizontal="center" vertical="center" wrapText="1"/>
      <protection/>
    </xf>
    <xf numFmtId="49" fontId="8" fillId="0" borderId="27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49" fontId="8" fillId="0" borderId="15" xfId="55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vertical="center"/>
    </xf>
    <xf numFmtId="49" fontId="8" fillId="0" borderId="19" xfId="55" applyNumberFormat="1" applyFont="1" applyFill="1" applyBorder="1" applyAlignment="1" applyProtection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9" fillId="0" borderId="18" xfId="55" applyFont="1" applyFill="1" applyBorder="1" applyAlignment="1" applyProtection="1">
      <alignment vertical="center" wrapText="1"/>
      <protection/>
    </xf>
    <xf numFmtId="49" fontId="9" fillId="0" borderId="26" xfId="55" applyNumberFormat="1" applyFont="1" applyFill="1" applyBorder="1" applyAlignment="1" applyProtection="1">
      <alignment horizontal="center" vertical="center" wrapText="1"/>
      <protection/>
    </xf>
    <xf numFmtId="0" fontId="9" fillId="0" borderId="31" xfId="55" applyFont="1" applyFill="1" applyBorder="1" applyAlignment="1">
      <alignment horizontal="center" vertical="center" wrapText="1"/>
      <protection/>
    </xf>
    <xf numFmtId="0" fontId="9" fillId="0" borderId="18" xfId="55" applyFont="1" applyFill="1" applyBorder="1" applyAlignment="1">
      <alignment vertical="center" wrapText="1"/>
      <protection/>
    </xf>
    <xf numFmtId="0" fontId="9" fillId="0" borderId="22" xfId="55" applyFont="1" applyFill="1" applyBorder="1" applyAlignment="1">
      <alignment vertical="center"/>
      <protection/>
    </xf>
    <xf numFmtId="49" fontId="8" fillId="0" borderId="13" xfId="55" applyNumberFormat="1" applyFont="1" applyFill="1" applyBorder="1" applyAlignment="1" applyProtection="1">
      <alignment horizontal="center" vertical="center" wrapText="1"/>
      <protection/>
    </xf>
    <xf numFmtId="49" fontId="8" fillId="0" borderId="27" xfId="55" applyNumberFormat="1" applyFont="1" applyFill="1" applyBorder="1" applyAlignment="1" applyProtection="1">
      <alignment vertical="center" wrapText="1"/>
      <protection/>
    </xf>
    <xf numFmtId="49" fontId="8" fillId="0" borderId="15" xfId="55" applyNumberFormat="1" applyFont="1" applyFill="1" applyBorder="1" applyAlignment="1" applyProtection="1">
      <alignment vertical="center" wrapText="1"/>
      <protection/>
    </xf>
    <xf numFmtId="49" fontId="8" fillId="0" borderId="23" xfId="55" applyNumberFormat="1" applyFont="1" applyFill="1" applyBorder="1" applyAlignment="1" applyProtection="1">
      <alignment vertical="center" wrapText="1"/>
      <protection/>
    </xf>
    <xf numFmtId="49" fontId="8" fillId="0" borderId="11" xfId="55" applyNumberFormat="1" applyFont="1" applyFill="1" applyBorder="1" applyAlignment="1" applyProtection="1">
      <alignment vertical="center" wrapText="1"/>
      <protection/>
    </xf>
    <xf numFmtId="49" fontId="8" fillId="0" borderId="13" xfId="55" applyNumberFormat="1" applyFont="1" applyFill="1" applyBorder="1" applyAlignment="1" applyProtection="1">
      <alignment vertical="center" wrapText="1"/>
      <protection/>
    </xf>
    <xf numFmtId="0" fontId="9" fillId="0" borderId="10" xfId="55" applyFont="1" applyFill="1" applyBorder="1" applyAlignment="1">
      <alignment vertical="center"/>
      <protection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5" xfId="55" applyFont="1" applyFill="1" applyBorder="1" applyAlignment="1">
      <alignment vertical="center"/>
      <protection/>
    </xf>
    <xf numFmtId="0" fontId="9" fillId="0" borderId="21" xfId="55" applyFont="1" applyFill="1" applyBorder="1" applyAlignment="1">
      <alignment horizontal="center" vertical="center" wrapText="1"/>
      <protection/>
    </xf>
    <xf numFmtId="0" fontId="9" fillId="0" borderId="25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 applyProtection="1">
      <alignment horizontal="center" vertical="center" wrapText="1"/>
      <protection/>
    </xf>
    <xf numFmtId="3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25" xfId="55" applyNumberFormat="1" applyFont="1" applyFill="1" applyBorder="1" applyAlignment="1" applyProtection="1">
      <alignment horizontal="center" vertical="center" wrapText="1"/>
      <protection/>
    </xf>
    <xf numFmtId="0" fontId="9" fillId="0" borderId="25" xfId="55" applyFont="1" applyFill="1" applyBorder="1" applyAlignment="1">
      <alignment vertical="center" wrapText="1"/>
      <protection/>
    </xf>
    <xf numFmtId="3" fontId="9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1" xfId="55" applyNumberFormat="1" applyFont="1" applyFill="1" applyBorder="1" applyAlignment="1" applyProtection="1">
      <alignment horizontal="right" vertical="center" wrapText="1"/>
      <protection locked="0"/>
    </xf>
    <xf numFmtId="3" fontId="8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vertical="center" wrapText="1"/>
      <protection/>
    </xf>
    <xf numFmtId="3" fontId="9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4" xfId="55" applyFont="1" applyFill="1" applyBorder="1" applyAlignment="1">
      <alignment horizontal="center" vertical="center" wrapText="1"/>
      <protection/>
    </xf>
    <xf numFmtId="3" fontId="8" fillId="0" borderId="35" xfId="55" applyNumberFormat="1" applyFont="1" applyFill="1" applyBorder="1" applyAlignment="1" applyProtection="1">
      <alignment horizontal="right" vertical="center" wrapText="1"/>
      <protection locked="0"/>
    </xf>
    <xf numFmtId="0" fontId="8" fillId="0" borderId="25" xfId="55" applyFont="1" applyFill="1" applyBorder="1" applyAlignment="1">
      <alignment horizontal="center" vertical="center"/>
      <protection/>
    </xf>
    <xf numFmtId="0" fontId="9" fillId="0" borderId="26" xfId="55" applyFont="1" applyFill="1" applyBorder="1" applyAlignment="1">
      <alignment horizontal="center" vertical="center" wrapText="1"/>
      <protection/>
    </xf>
    <xf numFmtId="0" fontId="8" fillId="0" borderId="36" xfId="55" applyFont="1" applyFill="1" applyBorder="1" applyAlignment="1">
      <alignment horizontal="center" vertical="center" wrapText="1"/>
      <protection/>
    </xf>
    <xf numFmtId="0" fontId="8" fillId="0" borderId="30" xfId="55" applyFont="1" applyFill="1" applyBorder="1" applyAlignment="1">
      <alignment horizontal="left" vertical="center" wrapText="1"/>
      <protection/>
    </xf>
    <xf numFmtId="3" fontId="8" fillId="0" borderId="30" xfId="55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vertical="center" wrapText="1"/>
      <protection/>
    </xf>
    <xf numFmtId="3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55" applyFont="1" applyFill="1" applyBorder="1" applyAlignment="1">
      <alignment vertical="center" wrapText="1"/>
      <protection/>
    </xf>
    <xf numFmtId="49" fontId="9" fillId="0" borderId="37" xfId="55" applyNumberFormat="1" applyFont="1" applyFill="1" applyBorder="1" applyAlignment="1" applyProtection="1">
      <alignment horizontal="center" vertical="center" wrapText="1"/>
      <protection/>
    </xf>
    <xf numFmtId="0" fontId="9" fillId="0" borderId="34" xfId="55" applyFont="1" applyFill="1" applyBorder="1" applyAlignment="1">
      <alignment vertical="center" wrapText="1"/>
      <protection/>
    </xf>
    <xf numFmtId="49" fontId="8" fillId="0" borderId="12" xfId="55" applyNumberFormat="1" applyFont="1" applyFill="1" applyBorder="1" applyAlignment="1" applyProtection="1">
      <alignment horizontal="center" vertical="center" wrapText="1"/>
      <protection/>
    </xf>
    <xf numFmtId="49" fontId="8" fillId="0" borderId="21" xfId="55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7" fillId="0" borderId="26" xfId="55" applyFont="1" applyFill="1" applyBorder="1" applyAlignment="1">
      <alignment horizontal="center" vertical="center" wrapText="1"/>
      <protection/>
    </xf>
    <xf numFmtId="3" fontId="21" fillId="0" borderId="26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3" fontId="21" fillId="0" borderId="38" xfId="0" applyNumberFormat="1" applyFont="1" applyFill="1" applyBorder="1" applyAlignment="1">
      <alignment horizontal="center" vertical="center"/>
    </xf>
    <xf numFmtId="0" fontId="9" fillId="35" borderId="26" xfId="55" applyFont="1" applyFill="1" applyBorder="1" applyAlignment="1">
      <alignment vertical="center"/>
      <protection/>
    </xf>
    <xf numFmtId="49" fontId="8" fillId="35" borderId="22" xfId="55" applyNumberFormat="1" applyFont="1" applyFill="1" applyBorder="1" applyAlignment="1" applyProtection="1">
      <alignment horizontal="center" vertical="center" wrapText="1"/>
      <protection/>
    </xf>
    <xf numFmtId="0" fontId="8" fillId="35" borderId="10" xfId="55" applyFont="1" applyFill="1" applyBorder="1" applyAlignment="1">
      <alignment horizontal="center" vertical="center" wrapText="1"/>
      <protection/>
    </xf>
    <xf numFmtId="0" fontId="8" fillId="35" borderId="19" xfId="55" applyFont="1" applyFill="1" applyBorder="1" applyAlignment="1">
      <alignment vertical="center" wrapText="1"/>
      <protection/>
    </xf>
    <xf numFmtId="3" fontId="8" fillId="35" borderId="10" xfId="55" applyNumberFormat="1" applyFont="1" applyFill="1" applyBorder="1" applyAlignment="1">
      <alignment horizontal="right" vertical="center" wrapText="1"/>
      <protection/>
    </xf>
    <xf numFmtId="3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24" xfId="55" applyNumberFormat="1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right" vertical="center" wrapText="1"/>
      <protection/>
    </xf>
    <xf numFmtId="4" fontId="16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4" xfId="55" applyFont="1" applyFill="1" applyBorder="1" applyAlignment="1">
      <alignment horizontal="left" vertical="center" wrapText="1"/>
      <protection/>
    </xf>
    <xf numFmtId="0" fontId="8" fillId="0" borderId="12" xfId="55" applyFont="1" applyFill="1" applyBorder="1" applyAlignment="1">
      <alignment horizontal="left" vertical="center" wrapText="1"/>
      <protection/>
    </xf>
    <xf numFmtId="0" fontId="8" fillId="0" borderId="39" xfId="55" applyFont="1" applyFill="1" applyBorder="1" applyAlignment="1">
      <alignment horizontal="left" vertical="center" wrapText="1"/>
      <protection/>
    </xf>
    <xf numFmtId="0" fontId="8" fillId="0" borderId="21" xfId="55" applyFont="1" applyFill="1" applyBorder="1" applyAlignment="1">
      <alignment horizontal="left" vertical="center" wrapText="1"/>
      <protection/>
    </xf>
    <xf numFmtId="0" fontId="8" fillId="0" borderId="40" xfId="55" applyFont="1" applyFill="1" applyBorder="1" applyAlignment="1">
      <alignment horizontal="left" vertical="center" wrapText="1"/>
      <protection/>
    </xf>
    <xf numFmtId="0" fontId="8" fillId="0" borderId="19" xfId="55" applyFont="1" applyFill="1" applyBorder="1" applyAlignment="1">
      <alignment horizontal="left" vertical="center" wrapText="1"/>
      <protection/>
    </xf>
    <xf numFmtId="49" fontId="8" fillId="0" borderId="26" xfId="55" applyNumberFormat="1" applyFont="1" applyFill="1" applyBorder="1" applyAlignment="1" applyProtection="1">
      <alignment horizontal="center" vertical="center" wrapText="1"/>
      <protection/>
    </xf>
    <xf numFmtId="0" fontId="8" fillId="0" borderId="24" xfId="55" applyFont="1" applyFill="1" applyBorder="1" applyAlignment="1">
      <alignment horizontal="left" vertical="center" wrapText="1"/>
      <protection/>
    </xf>
    <xf numFmtId="0" fontId="9" fillId="0" borderId="27" xfId="55" applyFont="1" applyFill="1" applyBorder="1" applyAlignment="1">
      <alignment horizontal="center" vertical="center"/>
      <protection/>
    </xf>
    <xf numFmtId="0" fontId="20" fillId="0" borderId="18" xfId="55" applyFont="1" applyFill="1" applyBorder="1" applyAlignment="1">
      <alignment horizontal="left" vertical="center" wrapText="1"/>
      <protection/>
    </xf>
    <xf numFmtId="0" fontId="8" fillId="0" borderId="25" xfId="55" applyFont="1" applyFill="1" applyBorder="1" applyAlignment="1" applyProtection="1">
      <alignment horizontal="center" vertical="center" wrapText="1"/>
      <protection/>
    </xf>
    <xf numFmtId="0" fontId="8" fillId="0" borderId="17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>
      <alignment horizontal="left" vertical="center" wrapText="1"/>
      <protection/>
    </xf>
    <xf numFmtId="0" fontId="8" fillId="0" borderId="18" xfId="55" applyFont="1" applyFill="1" applyBorder="1" applyAlignment="1">
      <alignment horizontal="left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24" xfId="55" applyFont="1" applyFill="1" applyBorder="1" applyAlignment="1">
      <alignment horizontal="center" vertical="center" wrapText="1"/>
      <protection/>
    </xf>
    <xf numFmtId="0" fontId="4" fillId="0" borderId="22" xfId="55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textRotation="90" wrapText="1"/>
      <protection/>
    </xf>
    <xf numFmtId="0" fontId="9" fillId="0" borderId="12" xfId="55" applyFont="1" applyFill="1" applyBorder="1" applyAlignment="1">
      <alignment horizontal="left" vertical="center" wrapText="1"/>
      <protection/>
    </xf>
    <xf numFmtId="0" fontId="8" fillId="0" borderId="18" xfId="55" applyFont="1" applyFill="1" applyBorder="1" applyAlignment="1">
      <alignment horizontal="right" vertical="center" wrapText="1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ZR_Obrasci_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3"/>
  <sheetViews>
    <sheetView tabSelected="1" zoomScale="80" zoomScaleNormal="80" zoomScalePageLayoutView="0" workbookViewId="0" topLeftCell="A1">
      <selection activeCell="A149" sqref="A149:IV159"/>
    </sheetView>
  </sheetViews>
  <sheetFormatPr defaultColWidth="11.57421875" defaultRowHeight="15"/>
  <cols>
    <col min="1" max="1" width="4.00390625" style="1" customWidth="1"/>
    <col min="2" max="2" width="10.00390625" style="1" customWidth="1"/>
    <col min="3" max="3" width="9.28125" style="1" customWidth="1"/>
    <col min="4" max="4" width="10.140625" style="1" customWidth="1"/>
    <col min="5" max="5" width="25.8515625" style="2" customWidth="1"/>
    <col min="6" max="6" width="14.00390625" style="1" customWidth="1"/>
    <col min="7" max="7" width="9.7109375" style="1" customWidth="1"/>
    <col min="8" max="8" width="13.8515625" style="3" customWidth="1"/>
    <col min="9" max="9" width="13.28125" style="1" customWidth="1"/>
    <col min="10" max="10" width="9.140625" style="1" customWidth="1"/>
    <col min="11" max="11" width="13.140625" style="1" customWidth="1"/>
    <col min="12" max="12" width="14.421875" style="1" customWidth="1"/>
    <col min="13" max="13" width="11.140625" style="3" customWidth="1"/>
    <col min="14" max="14" width="14.00390625" style="3" customWidth="1"/>
    <col min="15" max="15" width="14.57421875" style="1" customWidth="1"/>
    <col min="16" max="16" width="9.140625" style="1" customWidth="1"/>
    <col min="17" max="17" width="14.421875" style="1" customWidth="1"/>
    <col min="18" max="206" width="9.140625" style="1" customWidth="1"/>
    <col min="207" max="16384" width="11.57421875" style="67" customWidth="1"/>
  </cols>
  <sheetData>
    <row r="1" spans="1:7" s="3" customFormat="1" ht="29.25" customHeight="1">
      <c r="A1" s="76" t="s">
        <v>0</v>
      </c>
      <c r="B1" s="4"/>
      <c r="C1" s="4"/>
      <c r="D1" s="4"/>
      <c r="E1" s="5"/>
      <c r="F1" s="1"/>
      <c r="G1" s="1"/>
    </row>
    <row r="2" spans="1:7" s="3" customFormat="1" ht="33" customHeight="1">
      <c r="A2" s="6"/>
      <c r="B2" s="4"/>
      <c r="C2" s="4"/>
      <c r="D2" s="4"/>
      <c r="E2" s="5"/>
      <c r="F2" s="1"/>
      <c r="G2" s="1"/>
    </row>
    <row r="3" spans="1:7" s="3" customFormat="1" ht="27" customHeight="1">
      <c r="A3" s="77" t="s">
        <v>440</v>
      </c>
      <c r="B3" s="7"/>
      <c r="C3" s="7"/>
      <c r="D3" s="7"/>
      <c r="E3" s="7"/>
      <c r="F3" s="1"/>
      <c r="G3" s="1"/>
    </row>
    <row r="4" spans="1:7" s="3" customFormat="1" ht="38.25" customHeight="1">
      <c r="A4" s="4"/>
      <c r="B4" s="4"/>
      <c r="C4" s="4"/>
      <c r="D4" s="4"/>
      <c r="E4" s="5"/>
      <c r="F4" s="1"/>
      <c r="G4" s="1"/>
    </row>
    <row r="5" spans="1:7" s="3" customFormat="1" ht="40.5" customHeight="1">
      <c r="A5" s="84" t="s">
        <v>1</v>
      </c>
      <c r="B5" s="4"/>
      <c r="C5" s="4"/>
      <c r="D5" s="4"/>
      <c r="E5" s="5"/>
      <c r="F5" s="1"/>
      <c r="G5" s="1"/>
    </row>
    <row r="6" spans="1:17" s="3" customFormat="1" ht="12" customHeight="1">
      <c r="A6" s="284" t="s">
        <v>2</v>
      </c>
      <c r="B6" s="282" t="s">
        <v>3</v>
      </c>
      <c r="C6" s="284" t="s">
        <v>4</v>
      </c>
      <c r="D6" s="282" t="s">
        <v>5</v>
      </c>
      <c r="E6" s="282" t="s">
        <v>6</v>
      </c>
      <c r="F6" s="275" t="s">
        <v>7</v>
      </c>
      <c r="G6" s="276"/>
      <c r="H6" s="276"/>
      <c r="I6" s="276"/>
      <c r="J6" s="276"/>
      <c r="K6" s="277"/>
      <c r="L6" s="275" t="s">
        <v>439</v>
      </c>
      <c r="M6" s="276"/>
      <c r="N6" s="276"/>
      <c r="O6" s="276"/>
      <c r="P6" s="276"/>
      <c r="Q6" s="277"/>
    </row>
    <row r="7" spans="1:17" s="3" customFormat="1" ht="12" customHeight="1">
      <c r="A7" s="284"/>
      <c r="B7" s="282"/>
      <c r="C7" s="284"/>
      <c r="D7" s="282"/>
      <c r="E7" s="282"/>
      <c r="F7" s="278" t="s">
        <v>8</v>
      </c>
      <c r="G7" s="280" t="s">
        <v>9</v>
      </c>
      <c r="H7" s="280"/>
      <c r="I7" s="280"/>
      <c r="J7" s="280" t="s">
        <v>11</v>
      </c>
      <c r="K7" s="282" t="s">
        <v>10</v>
      </c>
      <c r="L7" s="278" t="s">
        <v>8</v>
      </c>
      <c r="M7" s="280" t="s">
        <v>9</v>
      </c>
      <c r="N7" s="280"/>
      <c r="O7" s="280"/>
      <c r="P7" s="280" t="s">
        <v>11</v>
      </c>
      <c r="Q7" s="282" t="s">
        <v>10</v>
      </c>
    </row>
    <row r="8" spans="1:17" s="3" customFormat="1" ht="53.25" customHeight="1">
      <c r="A8" s="284"/>
      <c r="B8" s="282"/>
      <c r="C8" s="284"/>
      <c r="D8" s="282"/>
      <c r="E8" s="282"/>
      <c r="F8" s="278"/>
      <c r="G8" s="9" t="s">
        <v>12</v>
      </c>
      <c r="H8" s="8" t="s">
        <v>13</v>
      </c>
      <c r="I8" s="8" t="s">
        <v>14</v>
      </c>
      <c r="J8" s="280"/>
      <c r="K8" s="280"/>
      <c r="L8" s="278"/>
      <c r="M8" s="9" t="s">
        <v>12</v>
      </c>
      <c r="N8" s="8" t="s">
        <v>13</v>
      </c>
      <c r="O8" s="8" t="s">
        <v>14</v>
      </c>
      <c r="P8" s="280"/>
      <c r="Q8" s="280"/>
    </row>
    <row r="9" spans="1:17" s="246" customFormat="1" ht="12" customHeight="1" thickBot="1">
      <c r="A9" s="68">
        <v>0</v>
      </c>
      <c r="B9" s="68">
        <v>1</v>
      </c>
      <c r="C9" s="68">
        <v>2</v>
      </c>
      <c r="D9" s="68">
        <v>3</v>
      </c>
      <c r="E9" s="69">
        <v>4</v>
      </c>
      <c r="F9" s="68" t="s">
        <v>15</v>
      </c>
      <c r="G9" s="68">
        <v>6</v>
      </c>
      <c r="H9" s="68">
        <v>7</v>
      </c>
      <c r="I9" s="68">
        <v>8</v>
      </c>
      <c r="J9" s="68">
        <v>9</v>
      </c>
      <c r="K9" s="247">
        <v>10</v>
      </c>
      <c r="L9" s="68" t="s">
        <v>438</v>
      </c>
      <c r="M9" s="68">
        <v>12</v>
      </c>
      <c r="N9" s="68">
        <v>13</v>
      </c>
      <c r="O9" s="68">
        <v>14</v>
      </c>
      <c r="P9" s="68">
        <v>15</v>
      </c>
      <c r="Q9" s="247">
        <v>16</v>
      </c>
    </row>
    <row r="10" spans="1:17" s="3" customFormat="1" ht="35.25" customHeight="1" thickBot="1" thickTop="1">
      <c r="A10" s="90" t="s">
        <v>16</v>
      </c>
      <c r="B10" s="91" t="s">
        <v>17</v>
      </c>
      <c r="C10" s="91"/>
      <c r="D10" s="263" t="s">
        <v>18</v>
      </c>
      <c r="E10" s="263"/>
      <c r="F10" s="11">
        <f>+F11+F13+F16</f>
        <v>20604500</v>
      </c>
      <c r="G10" s="12">
        <f>+G13+G16</f>
        <v>0</v>
      </c>
      <c r="H10" s="11">
        <f>+H13+H16</f>
        <v>0</v>
      </c>
      <c r="I10" s="13">
        <f>+I13+I16+I12</f>
        <v>650000</v>
      </c>
      <c r="J10" s="13"/>
      <c r="K10" s="11">
        <f>+K11+K13+K16</f>
        <v>19954500</v>
      </c>
      <c r="L10" s="11">
        <f>+O11+O13+O16</f>
        <v>650000</v>
      </c>
      <c r="M10" s="12">
        <f>+M13+M16</f>
        <v>0</v>
      </c>
      <c r="N10" s="11">
        <f>+N13+N16</f>
        <v>0</v>
      </c>
      <c r="O10" s="13">
        <f>+O13+O16+O12</f>
        <v>650000</v>
      </c>
      <c r="P10" s="13"/>
      <c r="Q10" s="11">
        <f>+Q11+Q13+Q16</f>
        <v>19954500</v>
      </c>
    </row>
    <row r="11" spans="1:17" s="3" customFormat="1" ht="28.5" customHeight="1" thickTop="1">
      <c r="A11" s="92">
        <v>1</v>
      </c>
      <c r="B11" s="93" t="s">
        <v>453</v>
      </c>
      <c r="C11" s="94"/>
      <c r="D11" s="274" t="s">
        <v>19</v>
      </c>
      <c r="E11" s="274"/>
      <c r="F11" s="14">
        <f>SUM(G11:K11)</f>
        <v>650000</v>
      </c>
      <c r="G11" s="15"/>
      <c r="H11" s="14"/>
      <c r="I11" s="16">
        <f>+I12</f>
        <v>650000</v>
      </c>
      <c r="J11" s="16"/>
      <c r="K11" s="14">
        <f>+K12</f>
        <v>0</v>
      </c>
      <c r="L11" s="14">
        <f>SUM(M11:Q11)</f>
        <v>650000</v>
      </c>
      <c r="M11" s="15"/>
      <c r="N11" s="14"/>
      <c r="O11" s="16">
        <f>+O12</f>
        <v>650000</v>
      </c>
      <c r="P11" s="16"/>
      <c r="Q11" s="14">
        <f>+Q12</f>
        <v>0</v>
      </c>
    </row>
    <row r="12" spans="1:17" s="3" customFormat="1" ht="30" customHeight="1" hidden="1">
      <c r="A12" s="96"/>
      <c r="B12" s="97"/>
      <c r="C12" s="98"/>
      <c r="D12" s="99">
        <v>741411</v>
      </c>
      <c r="E12" s="100" t="s">
        <v>20</v>
      </c>
      <c r="F12" s="17">
        <f>SUM(G12:K12)</f>
        <v>650000</v>
      </c>
      <c r="G12" s="18"/>
      <c r="H12" s="17"/>
      <c r="I12" s="19">
        <v>650000</v>
      </c>
      <c r="J12" s="19"/>
      <c r="K12" s="17"/>
      <c r="L12" s="17">
        <f>SUM(M12:Q12)</f>
        <v>650000</v>
      </c>
      <c r="M12" s="18"/>
      <c r="N12" s="17"/>
      <c r="O12" s="19">
        <v>650000</v>
      </c>
      <c r="P12" s="19"/>
      <c r="Q12" s="17"/>
    </row>
    <row r="13" spans="1:17" s="3" customFormat="1" ht="30.75" customHeight="1">
      <c r="A13" s="96">
        <v>2</v>
      </c>
      <c r="B13" s="101">
        <v>742100</v>
      </c>
      <c r="C13" s="102"/>
      <c r="D13" s="265" t="s">
        <v>21</v>
      </c>
      <c r="E13" s="265"/>
      <c r="F13" s="17">
        <f>+G13+H13+I13+K13</f>
        <v>19800000</v>
      </c>
      <c r="G13" s="18">
        <f>+G14</f>
        <v>0</v>
      </c>
      <c r="H13" s="17"/>
      <c r="I13" s="20"/>
      <c r="J13" s="20"/>
      <c r="K13" s="17">
        <f>+K14+K15</f>
        <v>19800000</v>
      </c>
      <c r="L13" s="17">
        <f>+M13+N13+O13+Q13</f>
        <v>19800000</v>
      </c>
      <c r="M13" s="18">
        <f>+M14</f>
        <v>0</v>
      </c>
      <c r="N13" s="17"/>
      <c r="O13" s="20"/>
      <c r="P13" s="20"/>
      <c r="Q13" s="17">
        <f>+Q14+Q15</f>
        <v>19800000</v>
      </c>
    </row>
    <row r="14" spans="1:17" s="3" customFormat="1" ht="30" customHeight="1" hidden="1">
      <c r="A14" s="287"/>
      <c r="B14" s="288"/>
      <c r="C14" s="288"/>
      <c r="D14" s="99">
        <v>742121</v>
      </c>
      <c r="E14" s="100" t="s">
        <v>22</v>
      </c>
      <c r="F14" s="21">
        <f>+G14+H14+I14+K14</f>
        <v>19200000</v>
      </c>
      <c r="G14" s="22"/>
      <c r="H14" s="21"/>
      <c r="I14" s="19"/>
      <c r="J14" s="19"/>
      <c r="K14" s="21">
        <f>18000000+1200000</f>
        <v>19200000</v>
      </c>
      <c r="L14" s="21">
        <f>+M14+N14+O14+Q14</f>
        <v>19200000</v>
      </c>
      <c r="M14" s="22"/>
      <c r="N14" s="21"/>
      <c r="O14" s="19"/>
      <c r="P14" s="19"/>
      <c r="Q14" s="21">
        <f>18000000+1200000</f>
        <v>19200000</v>
      </c>
    </row>
    <row r="15" spans="1:17" s="3" customFormat="1" ht="30" customHeight="1" hidden="1">
      <c r="A15" s="287"/>
      <c r="B15" s="288"/>
      <c r="C15" s="288"/>
      <c r="D15" s="104">
        <v>742122</v>
      </c>
      <c r="E15" s="100" t="s">
        <v>23</v>
      </c>
      <c r="F15" s="21">
        <f>+G15+H15+I15+K15</f>
        <v>600000</v>
      </c>
      <c r="G15" s="22"/>
      <c r="H15" s="21"/>
      <c r="I15" s="19"/>
      <c r="J15" s="19"/>
      <c r="K15" s="21">
        <v>600000</v>
      </c>
      <c r="L15" s="21">
        <f>+M15+N15+O15+Q15</f>
        <v>600000</v>
      </c>
      <c r="M15" s="22"/>
      <c r="N15" s="21"/>
      <c r="O15" s="19"/>
      <c r="P15" s="19"/>
      <c r="Q15" s="21">
        <v>600000</v>
      </c>
    </row>
    <row r="16" spans="1:17" s="3" customFormat="1" ht="30" customHeight="1" thickBot="1">
      <c r="A16" s="96">
        <v>3</v>
      </c>
      <c r="B16" s="101">
        <v>745000</v>
      </c>
      <c r="C16" s="102"/>
      <c r="D16" s="265" t="s">
        <v>24</v>
      </c>
      <c r="E16" s="265"/>
      <c r="F16" s="17">
        <f>SUM(G16:K16)</f>
        <v>154500</v>
      </c>
      <c r="G16" s="18">
        <f>+G17</f>
        <v>0</v>
      </c>
      <c r="H16" s="18">
        <f>+H17</f>
        <v>0</v>
      </c>
      <c r="I16" s="20"/>
      <c r="J16" s="20"/>
      <c r="K16" s="17">
        <f>+K17+9500</f>
        <v>154500</v>
      </c>
      <c r="L16" s="17">
        <f>SUM(M16:Q16)</f>
        <v>154500</v>
      </c>
      <c r="M16" s="18">
        <f>+M17</f>
        <v>0</v>
      </c>
      <c r="N16" s="18">
        <f>+N17</f>
        <v>0</v>
      </c>
      <c r="O16" s="20"/>
      <c r="P16" s="20"/>
      <c r="Q16" s="17">
        <f>+Q17+9500</f>
        <v>154500</v>
      </c>
    </row>
    <row r="17" spans="1:17" s="3" customFormat="1" ht="30" customHeight="1" hidden="1" thickBot="1">
      <c r="A17" s="105"/>
      <c r="B17" s="106"/>
      <c r="C17" s="106"/>
      <c r="D17" s="107">
        <v>745160</v>
      </c>
      <c r="E17" s="108" t="s">
        <v>25</v>
      </c>
      <c r="F17" s="23">
        <f>SUM(G17:K17)</f>
        <v>145000</v>
      </c>
      <c r="G17" s="24"/>
      <c r="H17" s="23"/>
      <c r="I17" s="25"/>
      <c r="J17" s="25"/>
      <c r="K17" s="23">
        <v>145000</v>
      </c>
      <c r="L17" s="23">
        <f>SUM(M17:Q17)</f>
        <v>145000</v>
      </c>
      <c r="M17" s="24"/>
      <c r="N17" s="23"/>
      <c r="O17" s="25"/>
      <c r="P17" s="25"/>
      <c r="Q17" s="23">
        <v>145000</v>
      </c>
    </row>
    <row r="18" spans="1:17" s="3" customFormat="1" ht="30.75" customHeight="1" thickBot="1" thickTop="1">
      <c r="A18" s="109" t="s">
        <v>26</v>
      </c>
      <c r="B18" s="110">
        <v>771100</v>
      </c>
      <c r="C18" s="111"/>
      <c r="D18" s="285" t="s">
        <v>27</v>
      </c>
      <c r="E18" s="285"/>
      <c r="F18" s="11">
        <f>+G18+H18+I18+K18</f>
        <v>4144316</v>
      </c>
      <c r="G18" s="11">
        <f>+G19</f>
        <v>1512</v>
      </c>
      <c r="H18" s="11">
        <f>+H19</f>
        <v>642804</v>
      </c>
      <c r="I18" s="13">
        <f>+I19</f>
        <v>3500000</v>
      </c>
      <c r="J18" s="13"/>
      <c r="K18" s="11">
        <f>+K19</f>
        <v>0</v>
      </c>
      <c r="L18" s="11">
        <f>+M18+N18+O18+Q18</f>
        <v>4144316</v>
      </c>
      <c r="M18" s="11">
        <f>+M19</f>
        <v>1512</v>
      </c>
      <c r="N18" s="11">
        <f>+N19</f>
        <v>642804</v>
      </c>
      <c r="O18" s="13">
        <f>+O19</f>
        <v>3500000</v>
      </c>
      <c r="P18" s="13"/>
      <c r="Q18" s="11">
        <f>+Q19</f>
        <v>0</v>
      </c>
    </row>
    <row r="19" spans="1:17" s="3" customFormat="1" ht="30" customHeight="1" hidden="1" thickBot="1" thickTop="1">
      <c r="A19" s="109"/>
      <c r="B19" s="110"/>
      <c r="C19" s="111"/>
      <c r="D19" s="112">
        <v>771111</v>
      </c>
      <c r="E19" s="113" t="s">
        <v>28</v>
      </c>
      <c r="F19" s="26">
        <f>+G19+H19+I19</f>
        <v>4144316</v>
      </c>
      <c r="G19" s="27">
        <v>1512</v>
      </c>
      <c r="H19" s="26">
        <v>642804</v>
      </c>
      <c r="I19" s="28">
        <v>3500000</v>
      </c>
      <c r="J19" s="28"/>
      <c r="K19" s="14"/>
      <c r="L19" s="26">
        <f>+M19+N19+O19</f>
        <v>4144316</v>
      </c>
      <c r="M19" s="27">
        <v>1512</v>
      </c>
      <c r="N19" s="26">
        <v>642804</v>
      </c>
      <c r="O19" s="28">
        <v>3500000</v>
      </c>
      <c r="P19" s="28"/>
      <c r="Q19" s="14"/>
    </row>
    <row r="20" spans="1:17" s="3" customFormat="1" ht="35.25" customHeight="1" thickBot="1" thickTop="1">
      <c r="A20" s="90" t="s">
        <v>29</v>
      </c>
      <c r="B20" s="114" t="s">
        <v>140</v>
      </c>
      <c r="C20" s="114"/>
      <c r="D20" s="263" t="s">
        <v>30</v>
      </c>
      <c r="E20" s="263"/>
      <c r="F20" s="11">
        <f>SUM(G20:K20)</f>
        <v>680878569</v>
      </c>
      <c r="G20" s="29"/>
      <c r="H20" s="29"/>
      <c r="I20" s="30">
        <f>457084000+13154000+47867000+15827000+24612000+86776000+2487000+3859000+8518558+11116514+2624410+1664169+1330083+3447631+511204</f>
        <v>680878569</v>
      </c>
      <c r="J20" s="30"/>
      <c r="K20" s="29"/>
      <c r="L20" s="11">
        <f>SUM(M20:Q20)</f>
        <v>680878569</v>
      </c>
      <c r="M20" s="29"/>
      <c r="N20" s="29"/>
      <c r="O20" s="30">
        <f>457084000+13154000+47867000+15827000+24612000+86776000+2487000+3859000+8518558+11116514+2624410+1664169+1330083+3447631+511204</f>
        <v>680878569</v>
      </c>
      <c r="P20" s="30"/>
      <c r="Q20" s="29"/>
    </row>
    <row r="21" spans="1:17" s="3" customFormat="1" ht="35.25" customHeight="1" thickBot="1" thickTop="1">
      <c r="A21" s="90" t="s">
        <v>31</v>
      </c>
      <c r="B21" s="115">
        <v>791111</v>
      </c>
      <c r="C21" s="116"/>
      <c r="D21" s="263" t="s">
        <v>32</v>
      </c>
      <c r="E21" s="263"/>
      <c r="F21" s="11">
        <f>SUM(G21:K21)</f>
        <v>11000000</v>
      </c>
      <c r="G21" s="29"/>
      <c r="H21" s="29">
        <v>11000000</v>
      </c>
      <c r="I21" s="30"/>
      <c r="J21" s="30"/>
      <c r="K21" s="29"/>
      <c r="L21" s="11">
        <f>SUM(M21:Q21)</f>
        <v>11000000</v>
      </c>
      <c r="M21" s="29"/>
      <c r="N21" s="29">
        <v>11000000</v>
      </c>
      <c r="O21" s="30"/>
      <c r="P21" s="30"/>
      <c r="Q21" s="29"/>
    </row>
    <row r="22" spans="1:17" s="3" customFormat="1" ht="33.75" customHeight="1" thickTop="1">
      <c r="A22" s="286" t="s">
        <v>33</v>
      </c>
      <c r="B22" s="286"/>
      <c r="C22" s="286"/>
      <c r="D22" s="286"/>
      <c r="E22" s="286"/>
      <c r="F22" s="31">
        <f>+G22+H22+I22+K22+J22</f>
        <v>716627385</v>
      </c>
      <c r="G22" s="31">
        <f>+G10+G20+G21+G19</f>
        <v>1512</v>
      </c>
      <c r="H22" s="31">
        <f>+H10+H20+H21+H19</f>
        <v>11642804</v>
      </c>
      <c r="I22" s="31">
        <f>+I10+I20+I21+I18</f>
        <v>685028569</v>
      </c>
      <c r="J22" s="31"/>
      <c r="K22" s="31">
        <f>+K10+K18</f>
        <v>19954500</v>
      </c>
      <c r="L22" s="31">
        <f>+M22+N22+O22+Q22+P22</f>
        <v>716627385</v>
      </c>
      <c r="M22" s="31">
        <f>+M10+M20+M21+M19</f>
        <v>1512</v>
      </c>
      <c r="N22" s="31">
        <f>+N10+N20+N21+N19</f>
        <v>11642804</v>
      </c>
      <c r="O22" s="31">
        <f>+O10+O20+O21+O18</f>
        <v>685028569</v>
      </c>
      <c r="P22" s="31"/>
      <c r="Q22" s="31">
        <f>+Q10+Q18</f>
        <v>19954500</v>
      </c>
    </row>
    <row r="23" spans="1:12" s="3" customFormat="1" ht="26.25" customHeight="1">
      <c r="A23" s="32"/>
      <c r="B23" s="32"/>
      <c r="C23" s="32"/>
      <c r="D23" s="32"/>
      <c r="E23" s="32"/>
      <c r="F23" s="33"/>
      <c r="G23" s="33"/>
      <c r="H23" s="33"/>
      <c r="I23" s="33"/>
      <c r="J23" s="33"/>
      <c r="K23" s="33"/>
      <c r="L23" s="33"/>
    </row>
    <row r="24" spans="1:12" s="3" customFormat="1" ht="26.25" customHeight="1">
      <c r="A24" s="32"/>
      <c r="B24" s="32"/>
      <c r="C24" s="32"/>
      <c r="D24" s="32"/>
      <c r="E24" s="32"/>
      <c r="F24" s="33"/>
      <c r="G24" s="33"/>
      <c r="H24" s="33"/>
      <c r="I24" s="33"/>
      <c r="J24" s="33"/>
      <c r="K24" s="33"/>
      <c r="L24" s="33"/>
    </row>
    <row r="25" spans="1:12" s="3" customFormat="1" ht="26.25" customHeight="1">
      <c r="A25" s="32"/>
      <c r="B25" s="32"/>
      <c r="C25" s="32"/>
      <c r="D25" s="32"/>
      <c r="E25" s="32"/>
      <c r="F25" s="33"/>
      <c r="G25" s="33"/>
      <c r="H25" s="33"/>
      <c r="I25" s="33"/>
      <c r="J25" s="33"/>
      <c r="K25" s="33"/>
      <c r="L25" s="33"/>
    </row>
    <row r="26" spans="1:12" s="3" customFormat="1" ht="26.25" customHeight="1">
      <c r="A26" s="32"/>
      <c r="B26" s="32"/>
      <c r="C26" s="32"/>
      <c r="D26" s="32"/>
      <c r="E26" s="32"/>
      <c r="F26" s="33"/>
      <c r="G26" s="33"/>
      <c r="H26" s="33"/>
      <c r="I26" s="33"/>
      <c r="J26" s="33"/>
      <c r="K26" s="33"/>
      <c r="L26" s="33"/>
    </row>
    <row r="27" spans="1:12" s="3" customFormat="1" ht="26.25" customHeight="1">
      <c r="A27" s="32"/>
      <c r="B27" s="32"/>
      <c r="C27" s="32"/>
      <c r="D27" s="32"/>
      <c r="E27" s="32"/>
      <c r="F27" s="33"/>
      <c r="G27" s="33"/>
      <c r="H27" s="33"/>
      <c r="I27" s="33"/>
      <c r="J27" s="33"/>
      <c r="K27" s="33"/>
      <c r="L27" s="33"/>
    </row>
    <row r="28" spans="1:12" s="3" customFormat="1" ht="26.25" customHeight="1">
      <c r="A28" s="32"/>
      <c r="B28" s="32"/>
      <c r="C28" s="32"/>
      <c r="D28" s="32"/>
      <c r="E28" s="32"/>
      <c r="F28" s="33"/>
      <c r="G28" s="33"/>
      <c r="H28" s="33"/>
      <c r="I28" s="33"/>
      <c r="J28" s="33"/>
      <c r="K28" s="33"/>
      <c r="L28" s="33"/>
    </row>
    <row r="29" spans="1:12" s="3" customFormat="1" ht="26.25" customHeight="1">
      <c r="A29" s="32"/>
      <c r="B29" s="32"/>
      <c r="C29" s="32"/>
      <c r="D29" s="32"/>
      <c r="E29" s="32"/>
      <c r="F29" s="33"/>
      <c r="G29" s="33"/>
      <c r="H29" s="33"/>
      <c r="I29" s="33"/>
      <c r="J29" s="33"/>
      <c r="K29" s="33"/>
      <c r="L29" s="33"/>
    </row>
    <row r="30" spans="1:12" s="3" customFormat="1" ht="26.25" customHeight="1">
      <c r="A30" s="32"/>
      <c r="B30" s="32"/>
      <c r="C30" s="32"/>
      <c r="D30" s="32"/>
      <c r="E30" s="32"/>
      <c r="F30" s="33"/>
      <c r="G30" s="33"/>
      <c r="H30" s="33"/>
      <c r="I30" s="33"/>
      <c r="J30" s="33"/>
      <c r="K30" s="33"/>
      <c r="L30" s="33"/>
    </row>
    <row r="31" spans="1:12" s="3" customFormat="1" ht="26.25" customHeight="1">
      <c r="A31" s="32"/>
      <c r="B31" s="32"/>
      <c r="C31" s="32"/>
      <c r="D31" s="32"/>
      <c r="E31" s="32"/>
      <c r="F31" s="33"/>
      <c r="G31" s="33"/>
      <c r="H31" s="33"/>
      <c r="I31" s="33"/>
      <c r="J31" s="33"/>
      <c r="K31" s="33"/>
      <c r="L31" s="33"/>
    </row>
    <row r="32" spans="1:12" s="3" customFormat="1" ht="26.25" customHeight="1">
      <c r="A32" s="32"/>
      <c r="B32" s="32"/>
      <c r="C32" s="32"/>
      <c r="D32" s="32"/>
      <c r="E32" s="32"/>
      <c r="F32" s="33"/>
      <c r="G32" s="33"/>
      <c r="H32" s="33"/>
      <c r="I32" s="33"/>
      <c r="J32" s="33"/>
      <c r="K32" s="33"/>
      <c r="L32" s="33"/>
    </row>
    <row r="33" spans="1:7" s="3" customFormat="1" ht="4.5" customHeight="1">
      <c r="A33" s="32"/>
      <c r="B33" s="32"/>
      <c r="C33" s="32"/>
      <c r="D33" s="32"/>
      <c r="E33" s="32"/>
      <c r="F33" s="34"/>
      <c r="G33" s="1"/>
    </row>
    <row r="34" spans="1:7" s="3" customFormat="1" ht="42" customHeight="1">
      <c r="A34" s="84" t="s">
        <v>34</v>
      </c>
      <c r="B34" s="35"/>
      <c r="C34" s="35"/>
      <c r="D34" s="4"/>
      <c r="E34" s="5"/>
      <c r="F34" s="1"/>
      <c r="G34" s="1"/>
    </row>
    <row r="35" spans="1:17" s="3" customFormat="1" ht="12" customHeight="1">
      <c r="A35" s="284" t="s">
        <v>2</v>
      </c>
      <c r="B35" s="282" t="s">
        <v>35</v>
      </c>
      <c r="C35" s="284" t="s">
        <v>4</v>
      </c>
      <c r="D35" s="282" t="s">
        <v>5</v>
      </c>
      <c r="E35" s="282" t="s">
        <v>6</v>
      </c>
      <c r="F35" s="275" t="s">
        <v>36</v>
      </c>
      <c r="G35" s="276"/>
      <c r="H35" s="276"/>
      <c r="I35" s="276"/>
      <c r="J35" s="276"/>
      <c r="K35" s="277"/>
      <c r="L35" s="275" t="s">
        <v>441</v>
      </c>
      <c r="M35" s="276"/>
      <c r="N35" s="276"/>
      <c r="O35" s="276"/>
      <c r="P35" s="276"/>
      <c r="Q35" s="277"/>
    </row>
    <row r="36" spans="1:17" s="3" customFormat="1" ht="12" customHeight="1">
      <c r="A36" s="284"/>
      <c r="B36" s="282"/>
      <c r="C36" s="284"/>
      <c r="D36" s="282"/>
      <c r="E36" s="282"/>
      <c r="F36" s="278" t="s">
        <v>8</v>
      </c>
      <c r="G36" s="280" t="s">
        <v>37</v>
      </c>
      <c r="H36" s="280"/>
      <c r="I36" s="280"/>
      <c r="J36" s="280" t="s">
        <v>11</v>
      </c>
      <c r="K36" s="282" t="s">
        <v>10</v>
      </c>
      <c r="L36" s="278" t="s">
        <v>8</v>
      </c>
      <c r="M36" s="280" t="s">
        <v>37</v>
      </c>
      <c r="N36" s="280"/>
      <c r="O36" s="280"/>
      <c r="P36" s="280" t="s">
        <v>11</v>
      </c>
      <c r="Q36" s="282" t="s">
        <v>10</v>
      </c>
    </row>
    <row r="37" spans="1:17" s="3" customFormat="1" ht="42" customHeight="1">
      <c r="A37" s="284"/>
      <c r="B37" s="282"/>
      <c r="C37" s="284"/>
      <c r="D37" s="282"/>
      <c r="E37" s="282"/>
      <c r="F37" s="279"/>
      <c r="G37" s="70" t="s">
        <v>12</v>
      </c>
      <c r="H37" s="10" t="s">
        <v>13</v>
      </c>
      <c r="I37" s="10" t="s">
        <v>14</v>
      </c>
      <c r="J37" s="281"/>
      <c r="K37" s="283"/>
      <c r="L37" s="279"/>
      <c r="M37" s="70" t="s">
        <v>12</v>
      </c>
      <c r="N37" s="10" t="s">
        <v>13</v>
      </c>
      <c r="O37" s="10" t="s">
        <v>14</v>
      </c>
      <c r="P37" s="281"/>
      <c r="Q37" s="283"/>
    </row>
    <row r="38" spans="1:17" s="246" customFormat="1" ht="12" customHeight="1">
      <c r="A38" s="68">
        <v>0</v>
      </c>
      <c r="B38" s="68">
        <v>1</v>
      </c>
      <c r="C38" s="68">
        <v>2</v>
      </c>
      <c r="D38" s="68">
        <v>3</v>
      </c>
      <c r="E38" s="69">
        <v>4</v>
      </c>
      <c r="F38" s="244" t="s">
        <v>15</v>
      </c>
      <c r="G38" s="244">
        <v>6</v>
      </c>
      <c r="H38" s="244">
        <v>7</v>
      </c>
      <c r="I38" s="244">
        <v>8</v>
      </c>
      <c r="J38" s="244">
        <v>9</v>
      </c>
      <c r="K38" s="245">
        <v>10</v>
      </c>
      <c r="L38" s="244" t="s">
        <v>438</v>
      </c>
      <c r="M38" s="244">
        <v>12</v>
      </c>
      <c r="N38" s="244">
        <v>13</v>
      </c>
      <c r="O38" s="244">
        <v>14</v>
      </c>
      <c r="P38" s="244">
        <v>15</v>
      </c>
      <c r="Q38" s="245">
        <v>16</v>
      </c>
    </row>
    <row r="39" spans="1:17" s="3" customFormat="1" ht="21" customHeight="1" thickBot="1">
      <c r="A39" s="273" t="s">
        <v>38</v>
      </c>
      <c r="B39" s="273"/>
      <c r="C39" s="273"/>
      <c r="D39" s="273"/>
      <c r="E39" s="273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 s="3" customFormat="1" ht="28.5" customHeight="1" thickBot="1" thickTop="1">
      <c r="A40" s="90" t="s">
        <v>16</v>
      </c>
      <c r="B40" s="117">
        <v>410000</v>
      </c>
      <c r="C40" s="117"/>
      <c r="D40" s="263" t="s">
        <v>39</v>
      </c>
      <c r="E40" s="263"/>
      <c r="F40" s="13">
        <f>SUM(G40:K40)</f>
        <v>585279749.17</v>
      </c>
      <c r="G40" s="13">
        <f>+G41+G43+G46+G49+G59+G63</f>
        <v>1512</v>
      </c>
      <c r="H40" s="13">
        <f>+H41+H43+H46+H49+H59+H63</f>
        <v>642804</v>
      </c>
      <c r="I40" s="13">
        <f>+I41+I43+I46+I49+I59+I63</f>
        <v>573967513.56</v>
      </c>
      <c r="J40" s="13"/>
      <c r="K40" s="13">
        <f>+K41+K43+K46+K49+K59+K63</f>
        <v>10667919.61</v>
      </c>
      <c r="L40" s="13">
        <f>SUM(M40:Q40)</f>
        <v>585279749.17</v>
      </c>
      <c r="M40" s="13">
        <f>+M41+M43+M46+M49+M59+M63</f>
        <v>1512</v>
      </c>
      <c r="N40" s="13">
        <f>+N41+N43+N46+N49+N59+N63</f>
        <v>642804</v>
      </c>
      <c r="O40" s="13">
        <f>+O41+O43+O46+O49+O59+O63</f>
        <v>573967513.56</v>
      </c>
      <c r="P40" s="13"/>
      <c r="Q40" s="13">
        <f>+Q41+Q43+Q46+Q49+Q59+Q63</f>
        <v>10667919.61</v>
      </c>
    </row>
    <row r="41" spans="1:17" s="3" customFormat="1" ht="30" customHeight="1" thickTop="1">
      <c r="A41" s="118">
        <v>1</v>
      </c>
      <c r="B41" s="119">
        <v>411100</v>
      </c>
      <c r="C41" s="120" t="s">
        <v>40</v>
      </c>
      <c r="D41" s="274" t="s">
        <v>41</v>
      </c>
      <c r="E41" s="274"/>
      <c r="F41" s="16">
        <f>SUM(G41:K41)</f>
        <v>465774481</v>
      </c>
      <c r="G41" s="36"/>
      <c r="H41" s="36"/>
      <c r="I41" s="16">
        <f>+I42</f>
        <v>458526532</v>
      </c>
      <c r="J41" s="16"/>
      <c r="K41" s="16">
        <f>+K42</f>
        <v>7247949</v>
      </c>
      <c r="L41" s="16">
        <f>SUM(M41:Q41)</f>
        <v>465774481</v>
      </c>
      <c r="M41" s="36"/>
      <c r="N41" s="36"/>
      <c r="O41" s="16">
        <f>+O42</f>
        <v>458526532</v>
      </c>
      <c r="P41" s="16"/>
      <c r="Q41" s="16">
        <f>+Q42</f>
        <v>7247949</v>
      </c>
    </row>
    <row r="42" spans="1:17" s="3" customFormat="1" ht="26.25" customHeight="1" hidden="1">
      <c r="A42" s="121"/>
      <c r="B42" s="122"/>
      <c r="C42" s="123" t="s">
        <v>42</v>
      </c>
      <c r="D42" s="99">
        <v>411100</v>
      </c>
      <c r="E42" s="100" t="s">
        <v>43</v>
      </c>
      <c r="F42" s="19">
        <f>SUM(G42:K42)</f>
        <v>465774481</v>
      </c>
      <c r="G42" s="37"/>
      <c r="H42" s="37"/>
      <c r="I42" s="37">
        <v>458526532</v>
      </c>
      <c r="J42" s="37"/>
      <c r="K42" s="37">
        <f>5168000+207000-150000+1064229+340000+420000+920+197800</f>
        <v>7247949</v>
      </c>
      <c r="L42" s="19">
        <f>SUM(M42:Q42)</f>
        <v>465774481</v>
      </c>
      <c r="M42" s="37"/>
      <c r="N42" s="37"/>
      <c r="O42" s="37">
        <v>458526532</v>
      </c>
      <c r="P42" s="37"/>
      <c r="Q42" s="37">
        <f>5168000+207000-150000+1064229+340000+420000+920+197800</f>
        <v>7247949</v>
      </c>
    </row>
    <row r="43" spans="1:17" s="3" customFormat="1" ht="30" customHeight="1">
      <c r="A43" s="124">
        <v>2</v>
      </c>
      <c r="B43" s="96">
        <v>412100</v>
      </c>
      <c r="C43" s="125" t="s">
        <v>44</v>
      </c>
      <c r="D43" s="259" t="s">
        <v>45</v>
      </c>
      <c r="E43" s="259"/>
      <c r="F43" s="20">
        <f>SUM(G43:K43)</f>
        <v>86788438.61</v>
      </c>
      <c r="G43" s="38"/>
      <c r="H43" s="20"/>
      <c r="I43" s="20">
        <f>+I44+I45</f>
        <v>85333468</v>
      </c>
      <c r="J43" s="20"/>
      <c r="K43" s="20">
        <f>+K44+K45</f>
        <v>1454970.6099999999</v>
      </c>
      <c r="L43" s="20">
        <f>SUM(M43:Q43)</f>
        <v>86788438.61</v>
      </c>
      <c r="M43" s="38"/>
      <c r="N43" s="20"/>
      <c r="O43" s="20">
        <f>+O44+O45</f>
        <v>85333468</v>
      </c>
      <c r="P43" s="20"/>
      <c r="Q43" s="20">
        <f>+Q44+Q45</f>
        <v>1454970.6099999999</v>
      </c>
    </row>
    <row r="44" spans="1:17" s="3" customFormat="1" ht="29.25" customHeight="1" hidden="1">
      <c r="A44" s="127"/>
      <c r="B44" s="128"/>
      <c r="C44" s="123" t="s">
        <v>46</v>
      </c>
      <c r="D44" s="129">
        <v>412100</v>
      </c>
      <c r="E44" s="130" t="s">
        <v>47</v>
      </c>
      <c r="F44" s="19">
        <f>+G44+I44+K44</f>
        <v>59130606.38</v>
      </c>
      <c r="G44" s="39"/>
      <c r="H44" s="19"/>
      <c r="I44" s="19">
        <v>58173756</v>
      </c>
      <c r="J44" s="19"/>
      <c r="K44" s="19">
        <f>621817+125520-50680.62+141895+40903+52396+25000</f>
        <v>956850.38</v>
      </c>
      <c r="L44" s="19">
        <f>+M44+O44+Q44</f>
        <v>59130606.38</v>
      </c>
      <c r="M44" s="39"/>
      <c r="N44" s="19"/>
      <c r="O44" s="19">
        <v>58173756</v>
      </c>
      <c r="P44" s="19"/>
      <c r="Q44" s="19">
        <f>621817+125520-50680.62+141895+40903+52396+25000</f>
        <v>956850.38</v>
      </c>
    </row>
    <row r="45" spans="1:17" s="3" customFormat="1" ht="19.5" customHeight="1" hidden="1">
      <c r="A45" s="127"/>
      <c r="B45" s="128"/>
      <c r="C45" s="123" t="s">
        <v>48</v>
      </c>
      <c r="D45" s="129">
        <v>412200</v>
      </c>
      <c r="E45" s="130" t="s">
        <v>49</v>
      </c>
      <c r="F45" s="19">
        <f>+G45+I45+K45</f>
        <v>27657832.23</v>
      </c>
      <c r="G45" s="39"/>
      <c r="H45" s="19"/>
      <c r="I45" s="19">
        <v>27159712</v>
      </c>
      <c r="J45" s="19"/>
      <c r="K45" s="19">
        <f>253295+89285-20612.77+65579+56673+19097+27604+7200</f>
        <v>498120.23</v>
      </c>
      <c r="L45" s="19">
        <f>+M45+O45+Q45</f>
        <v>27657832.23</v>
      </c>
      <c r="M45" s="39"/>
      <c r="N45" s="19"/>
      <c r="O45" s="19">
        <v>27159712</v>
      </c>
      <c r="P45" s="19"/>
      <c r="Q45" s="19">
        <f>253295+89285-20612.77+65579+56673+19097+27604+7200</f>
        <v>498120.23</v>
      </c>
    </row>
    <row r="46" spans="1:17" s="3" customFormat="1" ht="24" customHeight="1">
      <c r="A46" s="131">
        <v>3</v>
      </c>
      <c r="B46" s="132">
        <v>413100</v>
      </c>
      <c r="C46" s="124" t="s">
        <v>50</v>
      </c>
      <c r="D46" s="265" t="s">
        <v>51</v>
      </c>
      <c r="E46" s="265"/>
      <c r="F46" s="20">
        <f aca="true" t="shared" si="0" ref="F46:F53">SUM(G46:K46)</f>
        <v>250000</v>
      </c>
      <c r="G46" s="38"/>
      <c r="H46" s="20"/>
      <c r="I46" s="20">
        <f>+I47</f>
        <v>215000</v>
      </c>
      <c r="J46" s="20"/>
      <c r="K46" s="20">
        <f>+K47+K48</f>
        <v>35000</v>
      </c>
      <c r="L46" s="20">
        <f aca="true" t="shared" si="1" ref="L46:L53">SUM(M46:Q46)</f>
        <v>250000</v>
      </c>
      <c r="M46" s="38"/>
      <c r="N46" s="20"/>
      <c r="O46" s="20">
        <f>+O47</f>
        <v>215000</v>
      </c>
      <c r="P46" s="20"/>
      <c r="Q46" s="20">
        <f>+Q47+Q48</f>
        <v>35000</v>
      </c>
    </row>
    <row r="47" spans="1:17" s="3" customFormat="1" ht="19.5" customHeight="1" hidden="1">
      <c r="A47" s="133"/>
      <c r="B47" s="134"/>
      <c r="C47" s="133" t="s">
        <v>52</v>
      </c>
      <c r="D47" s="99">
        <v>413151</v>
      </c>
      <c r="E47" s="100" t="s">
        <v>53</v>
      </c>
      <c r="F47" s="19">
        <f t="shared" si="0"/>
        <v>250000</v>
      </c>
      <c r="G47" s="37"/>
      <c r="H47" s="37"/>
      <c r="I47" s="37">
        <v>215000</v>
      </c>
      <c r="J47" s="37"/>
      <c r="K47" s="37">
        <v>35000</v>
      </c>
      <c r="L47" s="19">
        <f t="shared" si="1"/>
        <v>250000</v>
      </c>
      <c r="M47" s="37"/>
      <c r="N47" s="37"/>
      <c r="O47" s="37">
        <v>215000</v>
      </c>
      <c r="P47" s="37"/>
      <c r="Q47" s="37">
        <v>35000</v>
      </c>
    </row>
    <row r="48" spans="1:17" s="3" customFormat="1" ht="4.5" customHeight="1" hidden="1">
      <c r="A48" s="135"/>
      <c r="B48" s="134"/>
      <c r="C48" s="133" t="s">
        <v>54</v>
      </c>
      <c r="D48" s="99">
        <v>413142</v>
      </c>
      <c r="E48" s="136" t="s">
        <v>55</v>
      </c>
      <c r="F48" s="19">
        <f t="shared" si="0"/>
        <v>0</v>
      </c>
      <c r="G48" s="37"/>
      <c r="H48" s="37"/>
      <c r="I48" s="37"/>
      <c r="J48" s="37"/>
      <c r="K48" s="37"/>
      <c r="L48" s="19">
        <f t="shared" si="1"/>
        <v>0</v>
      </c>
      <c r="M48" s="37"/>
      <c r="N48" s="37"/>
      <c r="O48" s="37"/>
      <c r="P48" s="37"/>
      <c r="Q48" s="37"/>
    </row>
    <row r="49" spans="1:17" s="3" customFormat="1" ht="33.75" customHeight="1">
      <c r="A49" s="137">
        <v>4</v>
      </c>
      <c r="B49" s="138">
        <v>414000</v>
      </c>
      <c r="C49" s="139" t="s">
        <v>56</v>
      </c>
      <c r="D49" s="265" t="s">
        <v>57</v>
      </c>
      <c r="E49" s="265"/>
      <c r="F49" s="20">
        <f t="shared" si="0"/>
        <v>7678789</v>
      </c>
      <c r="G49" s="38">
        <f>+G50+G54</f>
        <v>1512</v>
      </c>
      <c r="H49" s="20">
        <f>+H50+H54</f>
        <v>642804</v>
      </c>
      <c r="I49" s="20">
        <f>+I50+I54</f>
        <v>6964473</v>
      </c>
      <c r="J49" s="20"/>
      <c r="K49" s="20">
        <f>+K50+K54+K57</f>
        <v>70000</v>
      </c>
      <c r="L49" s="20">
        <f t="shared" si="1"/>
        <v>7678789</v>
      </c>
      <c r="M49" s="38">
        <f>+M50+M54</f>
        <v>1512</v>
      </c>
      <c r="N49" s="20">
        <f>+N50+N54</f>
        <v>642804</v>
      </c>
      <c r="O49" s="20">
        <f>+O50+O54</f>
        <v>6964473</v>
      </c>
      <c r="P49" s="20"/>
      <c r="Q49" s="20">
        <f>+Q50+Q54+Q57</f>
        <v>70000</v>
      </c>
    </row>
    <row r="50" spans="1:17" s="3" customFormat="1" ht="40.5" customHeight="1">
      <c r="A50" s="140"/>
      <c r="B50" s="101"/>
      <c r="C50" s="139" t="s">
        <v>58</v>
      </c>
      <c r="D50" s="101">
        <v>414100</v>
      </c>
      <c r="E50" s="141" t="s">
        <v>59</v>
      </c>
      <c r="F50" s="20">
        <f t="shared" si="0"/>
        <v>4144316</v>
      </c>
      <c r="G50" s="38">
        <f>+G51+G52+G53</f>
        <v>1512</v>
      </c>
      <c r="H50" s="20">
        <f>+H51</f>
        <v>642804</v>
      </c>
      <c r="I50" s="20">
        <f>+I51+I52</f>
        <v>3500000</v>
      </c>
      <c r="J50" s="20"/>
      <c r="K50" s="20"/>
      <c r="L50" s="20">
        <f t="shared" si="1"/>
        <v>4144316</v>
      </c>
      <c r="M50" s="38">
        <f>+M51+M52+M53</f>
        <v>1512</v>
      </c>
      <c r="N50" s="20">
        <f>+N51</f>
        <v>642804</v>
      </c>
      <c r="O50" s="20">
        <f>+O51+O52</f>
        <v>3500000</v>
      </c>
      <c r="P50" s="20"/>
      <c r="Q50" s="20"/>
    </row>
    <row r="51" spans="1:17" s="3" customFormat="1" ht="19.5" customHeight="1" hidden="1">
      <c r="A51" s="270"/>
      <c r="B51" s="143"/>
      <c r="C51" s="144" t="s">
        <v>141</v>
      </c>
      <c r="D51" s="99">
        <v>414111</v>
      </c>
      <c r="E51" s="145" t="s">
        <v>142</v>
      </c>
      <c r="F51" s="19">
        <f t="shared" si="0"/>
        <v>642804</v>
      </c>
      <c r="G51" s="38"/>
      <c r="H51" s="19">
        <v>642804</v>
      </c>
      <c r="I51" s="19"/>
      <c r="J51" s="19"/>
      <c r="K51" s="19"/>
      <c r="L51" s="19">
        <f t="shared" si="1"/>
        <v>642804</v>
      </c>
      <c r="M51" s="38"/>
      <c r="N51" s="19">
        <v>642804</v>
      </c>
      <c r="O51" s="19"/>
      <c r="P51" s="19"/>
      <c r="Q51" s="19"/>
    </row>
    <row r="52" spans="1:17" s="3" customFormat="1" ht="19.5" customHeight="1" hidden="1">
      <c r="A52" s="270"/>
      <c r="B52" s="143"/>
      <c r="C52" s="144" t="s">
        <v>143</v>
      </c>
      <c r="D52" s="99">
        <v>414121</v>
      </c>
      <c r="E52" s="145" t="s">
        <v>144</v>
      </c>
      <c r="F52" s="19">
        <f t="shared" si="0"/>
        <v>3500000</v>
      </c>
      <c r="G52" s="38"/>
      <c r="H52" s="20"/>
      <c r="I52" s="19">
        <v>3500000</v>
      </c>
      <c r="J52" s="19"/>
      <c r="K52" s="19"/>
      <c r="L52" s="19">
        <f t="shared" si="1"/>
        <v>3500000</v>
      </c>
      <c r="M52" s="38"/>
      <c r="N52" s="20"/>
      <c r="O52" s="19">
        <v>3500000</v>
      </c>
      <c r="P52" s="19"/>
      <c r="Q52" s="19"/>
    </row>
    <row r="53" spans="1:17" s="3" customFormat="1" ht="0.75" customHeight="1" hidden="1">
      <c r="A53" s="142"/>
      <c r="B53" s="143"/>
      <c r="C53" s="144" t="s">
        <v>145</v>
      </c>
      <c r="D53" s="99">
        <v>414131</v>
      </c>
      <c r="E53" s="145" t="s">
        <v>146</v>
      </c>
      <c r="F53" s="19">
        <f t="shared" si="0"/>
        <v>1512</v>
      </c>
      <c r="G53" s="39">
        <v>1512</v>
      </c>
      <c r="H53" s="20"/>
      <c r="I53" s="19"/>
      <c r="J53" s="19"/>
      <c r="K53" s="19"/>
      <c r="L53" s="19">
        <f t="shared" si="1"/>
        <v>1512</v>
      </c>
      <c r="M53" s="39">
        <v>1512</v>
      </c>
      <c r="N53" s="20"/>
      <c r="O53" s="19"/>
      <c r="P53" s="19"/>
      <c r="Q53" s="19"/>
    </row>
    <row r="54" spans="1:17" s="3" customFormat="1" ht="29.25" customHeight="1">
      <c r="A54" s="142"/>
      <c r="B54" s="146"/>
      <c r="C54" s="125" t="s">
        <v>60</v>
      </c>
      <c r="D54" s="101">
        <v>414300</v>
      </c>
      <c r="E54" s="141" t="s">
        <v>61</v>
      </c>
      <c r="F54" s="20">
        <f>+G54+H54+I54+K54</f>
        <v>3464473</v>
      </c>
      <c r="G54" s="38"/>
      <c r="H54" s="20"/>
      <c r="I54" s="20">
        <f>+I55+I56</f>
        <v>3464473</v>
      </c>
      <c r="J54" s="20"/>
      <c r="K54" s="20"/>
      <c r="L54" s="20">
        <f>+M54+N54+O54+Q54</f>
        <v>3464473</v>
      </c>
      <c r="M54" s="38"/>
      <c r="N54" s="20"/>
      <c r="O54" s="20">
        <f>+O55+O56</f>
        <v>3464473</v>
      </c>
      <c r="P54" s="20"/>
      <c r="Q54" s="20"/>
    </row>
    <row r="55" spans="1:17" s="3" customFormat="1" ht="19.5" customHeight="1" hidden="1">
      <c r="A55" s="147"/>
      <c r="B55" s="148"/>
      <c r="C55" s="123" t="s">
        <v>147</v>
      </c>
      <c r="D55" s="99">
        <v>414311</v>
      </c>
      <c r="E55" s="100" t="s">
        <v>148</v>
      </c>
      <c r="F55" s="19">
        <f>SUM(G55:K55)</f>
        <v>3346000</v>
      </c>
      <c r="G55" s="37"/>
      <c r="H55" s="37"/>
      <c r="I55" s="37">
        <v>3346000</v>
      </c>
      <c r="J55" s="37"/>
      <c r="K55" s="37"/>
      <c r="L55" s="19">
        <f>SUM(M55:Q55)</f>
        <v>3346000</v>
      </c>
      <c r="M55" s="37"/>
      <c r="N55" s="37"/>
      <c r="O55" s="37">
        <v>3346000</v>
      </c>
      <c r="P55" s="37"/>
      <c r="Q55" s="37"/>
    </row>
    <row r="56" spans="1:17" s="3" customFormat="1" ht="28.5" customHeight="1" hidden="1">
      <c r="A56" s="147"/>
      <c r="B56" s="148"/>
      <c r="C56" s="149" t="s">
        <v>149</v>
      </c>
      <c r="D56" s="107">
        <v>414314</v>
      </c>
      <c r="E56" s="150" t="s">
        <v>150</v>
      </c>
      <c r="F56" s="19">
        <f>SUM(G56:K56)</f>
        <v>118473</v>
      </c>
      <c r="G56" s="37"/>
      <c r="H56" s="37"/>
      <c r="I56" s="37">
        <v>118473</v>
      </c>
      <c r="J56" s="37"/>
      <c r="K56" s="37"/>
      <c r="L56" s="19">
        <f>SUM(M56:Q56)</f>
        <v>118473</v>
      </c>
      <c r="M56" s="37"/>
      <c r="N56" s="37"/>
      <c r="O56" s="37">
        <v>118473</v>
      </c>
      <c r="P56" s="37"/>
      <c r="Q56" s="37"/>
    </row>
    <row r="57" spans="1:17" s="3" customFormat="1" ht="53.25" customHeight="1">
      <c r="A57" s="147"/>
      <c r="B57" s="148"/>
      <c r="C57" s="151" t="s">
        <v>62</v>
      </c>
      <c r="D57" s="152">
        <v>414400</v>
      </c>
      <c r="E57" s="153" t="s">
        <v>63</v>
      </c>
      <c r="F57" s="20">
        <f>+I58+K58</f>
        <v>70000</v>
      </c>
      <c r="G57" s="53"/>
      <c r="H57" s="53"/>
      <c r="I57" s="53"/>
      <c r="J57" s="53"/>
      <c r="K57" s="53">
        <f>+K58</f>
        <v>70000</v>
      </c>
      <c r="L57" s="20">
        <f>+O58+Q58</f>
        <v>70000</v>
      </c>
      <c r="M57" s="53"/>
      <c r="N57" s="53"/>
      <c r="O57" s="53"/>
      <c r="P57" s="53"/>
      <c r="Q57" s="53">
        <f>+Q58</f>
        <v>70000</v>
      </c>
    </row>
    <row r="58" spans="1:17" s="3" customFormat="1" ht="25.5" customHeight="1" hidden="1">
      <c r="A58" s="147"/>
      <c r="B58" s="154"/>
      <c r="C58" s="155" t="s">
        <v>151</v>
      </c>
      <c r="D58" s="156">
        <v>414411</v>
      </c>
      <c r="E58" s="157" t="s">
        <v>152</v>
      </c>
      <c r="F58" s="19">
        <f aca="true" t="shared" si="2" ref="F58:F65">SUM(G58:K58)</f>
        <v>70000</v>
      </c>
      <c r="G58" s="37"/>
      <c r="H58" s="37"/>
      <c r="I58" s="37"/>
      <c r="J58" s="37"/>
      <c r="K58" s="37">
        <v>70000</v>
      </c>
      <c r="L58" s="19">
        <f aca="true" t="shared" si="3" ref="L58:L65">SUM(M58:Q58)</f>
        <v>70000</v>
      </c>
      <c r="M58" s="37"/>
      <c r="N58" s="37"/>
      <c r="O58" s="37"/>
      <c r="P58" s="37"/>
      <c r="Q58" s="37">
        <v>70000</v>
      </c>
    </row>
    <row r="59" spans="1:17" s="3" customFormat="1" ht="27" customHeight="1">
      <c r="A59" s="124">
        <v>5</v>
      </c>
      <c r="B59" s="101">
        <v>415100</v>
      </c>
      <c r="C59" s="124" t="s">
        <v>64</v>
      </c>
      <c r="D59" s="259" t="s">
        <v>430</v>
      </c>
      <c r="E59" s="259"/>
      <c r="F59" s="20">
        <f t="shared" si="2"/>
        <v>16976000</v>
      </c>
      <c r="G59" s="38"/>
      <c r="H59" s="38"/>
      <c r="I59" s="20">
        <f>+I60+I61+I62</f>
        <v>15276000</v>
      </c>
      <c r="J59" s="20"/>
      <c r="K59" s="20">
        <f>+K60+K61+K62</f>
        <v>1700000</v>
      </c>
      <c r="L59" s="20">
        <f t="shared" si="3"/>
        <v>16976000</v>
      </c>
      <c r="M59" s="38"/>
      <c r="N59" s="38"/>
      <c r="O59" s="20">
        <f>+O60+O61+O62</f>
        <v>15276000</v>
      </c>
      <c r="P59" s="20"/>
      <c r="Q59" s="20">
        <f>+Q60+Q61+Q62</f>
        <v>1700000</v>
      </c>
    </row>
    <row r="60" spans="1:17" s="3" customFormat="1" ht="24" customHeight="1" hidden="1">
      <c r="A60" s="271"/>
      <c r="B60" s="272"/>
      <c r="C60" s="159" t="s">
        <v>153</v>
      </c>
      <c r="D60" s="160">
        <v>415111</v>
      </c>
      <c r="E60" s="100" t="s">
        <v>154</v>
      </c>
      <c r="F60" s="19">
        <f t="shared" si="2"/>
        <v>1500000</v>
      </c>
      <c r="G60" s="41"/>
      <c r="H60" s="41"/>
      <c r="I60" s="41"/>
      <c r="J60" s="41"/>
      <c r="K60" s="41">
        <v>1500000</v>
      </c>
      <c r="L60" s="19">
        <f t="shared" si="3"/>
        <v>1500000</v>
      </c>
      <c r="M60" s="41"/>
      <c r="N60" s="41"/>
      <c r="O60" s="41"/>
      <c r="P60" s="41"/>
      <c r="Q60" s="41">
        <v>1500000</v>
      </c>
    </row>
    <row r="61" spans="1:17" s="3" customFormat="1" ht="23.25" customHeight="1" hidden="1">
      <c r="A61" s="271"/>
      <c r="B61" s="272"/>
      <c r="C61" s="161" t="s">
        <v>155</v>
      </c>
      <c r="D61" s="99">
        <v>415112</v>
      </c>
      <c r="E61" s="100" t="s">
        <v>156</v>
      </c>
      <c r="F61" s="19">
        <f t="shared" si="2"/>
        <v>14776000</v>
      </c>
      <c r="G61" s="37"/>
      <c r="H61" s="37"/>
      <c r="I61" s="37">
        <f>11390340+1100000+200000+1885660</f>
        <v>14576000</v>
      </c>
      <c r="J61" s="37"/>
      <c r="K61" s="37">
        <v>200000</v>
      </c>
      <c r="L61" s="19">
        <f t="shared" si="3"/>
        <v>14776000</v>
      </c>
      <c r="M61" s="37"/>
      <c r="N61" s="37"/>
      <c r="O61" s="37">
        <f>11390340+1100000+200000+1885660</f>
        <v>14576000</v>
      </c>
      <c r="P61" s="37"/>
      <c r="Q61" s="37">
        <v>200000</v>
      </c>
    </row>
    <row r="62" spans="1:17" s="3" customFormat="1" ht="26.25" customHeight="1" hidden="1">
      <c r="A62" s="162"/>
      <c r="B62" s="163"/>
      <c r="C62" s="161" t="s">
        <v>157</v>
      </c>
      <c r="D62" s="99">
        <v>4151121</v>
      </c>
      <c r="E62" s="100" t="s">
        <v>158</v>
      </c>
      <c r="F62" s="19">
        <f t="shared" si="2"/>
        <v>700000</v>
      </c>
      <c r="G62" s="37"/>
      <c r="H62" s="37"/>
      <c r="I62" s="54">
        <v>700000</v>
      </c>
      <c r="J62" s="54"/>
      <c r="K62" s="54"/>
      <c r="L62" s="19">
        <f t="shared" si="3"/>
        <v>700000</v>
      </c>
      <c r="M62" s="37"/>
      <c r="N62" s="37"/>
      <c r="O62" s="54">
        <v>700000</v>
      </c>
      <c r="P62" s="54"/>
      <c r="Q62" s="54"/>
    </row>
    <row r="63" spans="1:17" s="3" customFormat="1" ht="33" customHeight="1" thickBot="1">
      <c r="A63" s="118">
        <v>6</v>
      </c>
      <c r="B63" s="132">
        <v>416100</v>
      </c>
      <c r="C63" s="124" t="s">
        <v>65</v>
      </c>
      <c r="D63" s="265" t="s">
        <v>431</v>
      </c>
      <c r="E63" s="265"/>
      <c r="F63" s="20">
        <f t="shared" si="2"/>
        <v>7812040.56</v>
      </c>
      <c r="G63" s="38"/>
      <c r="H63" s="20"/>
      <c r="I63" s="20">
        <f>+I64+I65</f>
        <v>7652040.56</v>
      </c>
      <c r="J63" s="20"/>
      <c r="K63" s="20">
        <f>+K64+K65</f>
        <v>160000</v>
      </c>
      <c r="L63" s="20">
        <f t="shared" si="3"/>
        <v>7812040.56</v>
      </c>
      <c r="M63" s="38"/>
      <c r="N63" s="20"/>
      <c r="O63" s="20">
        <f>+O64+O65</f>
        <v>7652040.56</v>
      </c>
      <c r="P63" s="20"/>
      <c r="Q63" s="20">
        <f>+Q64+Q65</f>
        <v>160000</v>
      </c>
    </row>
    <row r="64" spans="1:17" s="3" customFormat="1" ht="19.5" customHeight="1" hidden="1">
      <c r="A64" s="137"/>
      <c r="B64" s="164"/>
      <c r="C64" s="133" t="s">
        <v>159</v>
      </c>
      <c r="D64" s="99">
        <v>416111</v>
      </c>
      <c r="E64" s="100" t="s">
        <v>160</v>
      </c>
      <c r="F64" s="19">
        <f t="shared" si="2"/>
        <v>7652040.56</v>
      </c>
      <c r="G64" s="37"/>
      <c r="H64" s="37"/>
      <c r="I64" s="37">
        <v>7652040.56</v>
      </c>
      <c r="J64" s="37"/>
      <c r="K64" s="37"/>
      <c r="L64" s="19">
        <f t="shared" si="3"/>
        <v>7652040.56</v>
      </c>
      <c r="M64" s="37"/>
      <c r="N64" s="37"/>
      <c r="O64" s="37">
        <v>7652040.56</v>
      </c>
      <c r="P64" s="37"/>
      <c r="Q64" s="37"/>
    </row>
    <row r="65" spans="1:17" s="3" customFormat="1" ht="23.25" customHeight="1" hidden="1" thickBot="1">
      <c r="A65" s="127"/>
      <c r="B65" s="134"/>
      <c r="C65" s="135" t="s">
        <v>161</v>
      </c>
      <c r="D65" s="158">
        <v>416131</v>
      </c>
      <c r="E65" s="150" t="s">
        <v>162</v>
      </c>
      <c r="F65" s="25">
        <f t="shared" si="2"/>
        <v>160000</v>
      </c>
      <c r="G65" s="55"/>
      <c r="H65" s="55"/>
      <c r="I65" s="55"/>
      <c r="J65" s="55"/>
      <c r="K65" s="55">
        <v>160000</v>
      </c>
      <c r="L65" s="25">
        <f t="shared" si="3"/>
        <v>160000</v>
      </c>
      <c r="M65" s="55"/>
      <c r="N65" s="55"/>
      <c r="O65" s="55"/>
      <c r="P65" s="55"/>
      <c r="Q65" s="55">
        <v>160000</v>
      </c>
    </row>
    <row r="66" spans="1:17" s="3" customFormat="1" ht="32.25" customHeight="1" thickBot="1" thickTop="1">
      <c r="A66" s="90" t="s">
        <v>26</v>
      </c>
      <c r="B66" s="117">
        <v>420000</v>
      </c>
      <c r="C66" s="117"/>
      <c r="D66" s="263" t="s">
        <v>66</v>
      </c>
      <c r="E66" s="263"/>
      <c r="F66" s="13">
        <f>+F67+F97+F106+F129+F165+F137</f>
        <v>116550145.78</v>
      </c>
      <c r="G66" s="40"/>
      <c r="H66" s="13">
        <f>+H67+H97+H106+H129+H165+H137</f>
        <v>1000000</v>
      </c>
      <c r="I66" s="13">
        <f>+I67+I97+I106+I129+I165+I137</f>
        <v>108293645.78</v>
      </c>
      <c r="J66" s="13"/>
      <c r="K66" s="13">
        <f>+K67+K97+K106+K129+K165+K137</f>
        <v>7256500</v>
      </c>
      <c r="L66" s="13">
        <f>+L67+L97+L106+L129+L165+L137</f>
        <v>116550145.78</v>
      </c>
      <c r="M66" s="40"/>
      <c r="N66" s="13">
        <f>+N67+N97+N106+N129+N165+N137</f>
        <v>1000000</v>
      </c>
      <c r="O66" s="13">
        <f>+O67+O97+O106+O129+O165+O137</f>
        <v>108293645.78</v>
      </c>
      <c r="P66" s="13"/>
      <c r="Q66" s="13">
        <f>+Q67+Q97+Q106+Q129+Q165+Q137</f>
        <v>7256500</v>
      </c>
    </row>
    <row r="67" spans="1:17" s="3" customFormat="1" ht="24.75" customHeight="1" thickTop="1">
      <c r="A67" s="165">
        <v>1</v>
      </c>
      <c r="B67" s="119">
        <v>421000</v>
      </c>
      <c r="C67" s="166"/>
      <c r="D67" s="269" t="s">
        <v>67</v>
      </c>
      <c r="E67" s="269"/>
      <c r="F67" s="16">
        <f>+F68+F71+F76+F81+F89+F94</f>
        <v>22249639.39</v>
      </c>
      <c r="G67" s="36"/>
      <c r="H67" s="36"/>
      <c r="I67" s="16">
        <f>+I68+I71+I76+I81+I89+I94</f>
        <v>21609139.39</v>
      </c>
      <c r="J67" s="16"/>
      <c r="K67" s="16">
        <f>+K68+K71+K76+K81+K89+K94</f>
        <v>640500</v>
      </c>
      <c r="L67" s="16">
        <f>+L68+L71+L76+L81+L89+L94</f>
        <v>22359639.39</v>
      </c>
      <c r="M67" s="36"/>
      <c r="N67" s="36"/>
      <c r="O67" s="16">
        <f>+O68+O71+O76+O81+O89+O94</f>
        <v>21609139.39</v>
      </c>
      <c r="P67" s="16"/>
      <c r="Q67" s="16">
        <f>+Q68+Q71+Q76+Q81+Q89+Q94</f>
        <v>750500</v>
      </c>
    </row>
    <row r="68" spans="1:17" s="3" customFormat="1" ht="24.75" customHeight="1">
      <c r="A68" s="167"/>
      <c r="B68" s="148"/>
      <c r="C68" s="168" t="s">
        <v>68</v>
      </c>
      <c r="D68" s="101">
        <v>421100</v>
      </c>
      <c r="E68" s="169" t="s">
        <v>424</v>
      </c>
      <c r="F68" s="20">
        <f aca="true" t="shared" si="4" ref="F68:F87">SUM(G68:K68)</f>
        <v>821000.39</v>
      </c>
      <c r="G68" s="56"/>
      <c r="H68" s="56"/>
      <c r="I68" s="56">
        <f>+I69+I70</f>
        <v>721000.39</v>
      </c>
      <c r="J68" s="56"/>
      <c r="K68" s="56">
        <f>+K69+K70</f>
        <v>100000</v>
      </c>
      <c r="L68" s="20">
        <f aca="true" t="shared" si="5" ref="L68:L87">SUM(M68:Q68)</f>
        <v>821000.39</v>
      </c>
      <c r="M68" s="56"/>
      <c r="N68" s="56"/>
      <c r="O68" s="56">
        <f>+O69+O70</f>
        <v>721000.39</v>
      </c>
      <c r="P68" s="56"/>
      <c r="Q68" s="56">
        <f>+Q69+Q70</f>
        <v>100000</v>
      </c>
    </row>
    <row r="69" spans="1:17" s="3" customFormat="1" ht="19.5" customHeight="1" hidden="1">
      <c r="A69" s="170"/>
      <c r="B69" s="266"/>
      <c r="C69" s="172" t="s">
        <v>163</v>
      </c>
      <c r="D69" s="99">
        <v>421111</v>
      </c>
      <c r="E69" s="100" t="s">
        <v>164</v>
      </c>
      <c r="F69" s="19">
        <f t="shared" si="4"/>
        <v>758000</v>
      </c>
      <c r="G69" s="37"/>
      <c r="H69" s="37"/>
      <c r="I69" s="37">
        <v>663000</v>
      </c>
      <c r="J69" s="37"/>
      <c r="K69" s="37">
        <v>95000</v>
      </c>
      <c r="L69" s="19">
        <f t="shared" si="5"/>
        <v>758000</v>
      </c>
      <c r="M69" s="37"/>
      <c r="N69" s="37"/>
      <c r="O69" s="37">
        <v>663000</v>
      </c>
      <c r="P69" s="37"/>
      <c r="Q69" s="37">
        <v>95000</v>
      </c>
    </row>
    <row r="70" spans="1:17" s="3" customFormat="1" ht="19.5" customHeight="1" hidden="1">
      <c r="A70" s="170"/>
      <c r="B70" s="266"/>
      <c r="C70" s="172" t="s">
        <v>165</v>
      </c>
      <c r="D70" s="99">
        <v>421121</v>
      </c>
      <c r="E70" s="100" t="s">
        <v>166</v>
      </c>
      <c r="F70" s="19">
        <f t="shared" si="4"/>
        <v>63000.39</v>
      </c>
      <c r="G70" s="37"/>
      <c r="H70" s="37"/>
      <c r="I70" s="37">
        <v>58000.39</v>
      </c>
      <c r="J70" s="37"/>
      <c r="K70" s="37">
        <v>5000</v>
      </c>
      <c r="L70" s="19">
        <f t="shared" si="5"/>
        <v>63000.39</v>
      </c>
      <c r="M70" s="37"/>
      <c r="N70" s="37"/>
      <c r="O70" s="37">
        <v>58000.39</v>
      </c>
      <c r="P70" s="37"/>
      <c r="Q70" s="37">
        <v>5000</v>
      </c>
    </row>
    <row r="71" spans="1:17" s="3" customFormat="1" ht="24.75" customHeight="1">
      <c r="A71" s="170"/>
      <c r="B71" s="148"/>
      <c r="C71" s="168" t="s">
        <v>69</v>
      </c>
      <c r="D71" s="101">
        <v>421200</v>
      </c>
      <c r="E71" s="169" t="s">
        <v>425</v>
      </c>
      <c r="F71" s="20">
        <f t="shared" si="4"/>
        <v>11588252</v>
      </c>
      <c r="G71" s="53"/>
      <c r="H71" s="53"/>
      <c r="I71" s="53">
        <f>+I72+I73+I74+I75</f>
        <v>11563252</v>
      </c>
      <c r="J71" s="53"/>
      <c r="K71" s="53">
        <f>+K72+K73+K74+K75</f>
        <v>25000</v>
      </c>
      <c r="L71" s="20">
        <f t="shared" si="5"/>
        <v>11588252</v>
      </c>
      <c r="M71" s="53"/>
      <c r="N71" s="53"/>
      <c r="O71" s="53">
        <f>+O72+O73+O74+O75</f>
        <v>11563252</v>
      </c>
      <c r="P71" s="53"/>
      <c r="Q71" s="53">
        <f>+Q72+Q73+Q74+Q75</f>
        <v>25000</v>
      </c>
    </row>
    <row r="72" spans="1:17" s="1" customFormat="1" ht="19.5" customHeight="1" hidden="1">
      <c r="A72" s="170"/>
      <c r="B72" s="266"/>
      <c r="C72" s="172" t="s">
        <v>167</v>
      </c>
      <c r="D72" s="99">
        <v>421211</v>
      </c>
      <c r="E72" s="100" t="s">
        <v>168</v>
      </c>
      <c r="F72" s="19">
        <f t="shared" si="4"/>
        <v>6074912</v>
      </c>
      <c r="G72" s="37"/>
      <c r="H72" s="37"/>
      <c r="I72" s="37">
        <f>6064700+212</f>
        <v>6064912</v>
      </c>
      <c r="J72" s="37"/>
      <c r="K72" s="37">
        <v>10000</v>
      </c>
      <c r="L72" s="19">
        <f t="shared" si="5"/>
        <v>6074912</v>
      </c>
      <c r="M72" s="37"/>
      <c r="N72" s="37"/>
      <c r="O72" s="37">
        <f>6064700+212</f>
        <v>6064912</v>
      </c>
      <c r="P72" s="37"/>
      <c r="Q72" s="37">
        <v>10000</v>
      </c>
    </row>
    <row r="73" spans="1:17" s="1" customFormat="1" ht="19.5" customHeight="1" hidden="1">
      <c r="A73" s="170"/>
      <c r="B73" s="266"/>
      <c r="C73" s="172" t="s">
        <v>169</v>
      </c>
      <c r="D73" s="99">
        <v>421221</v>
      </c>
      <c r="E73" s="100" t="s">
        <v>170</v>
      </c>
      <c r="F73" s="19">
        <f t="shared" si="4"/>
        <v>2224100</v>
      </c>
      <c r="G73" s="37"/>
      <c r="H73" s="37"/>
      <c r="I73" s="37">
        <v>2214100</v>
      </c>
      <c r="J73" s="37"/>
      <c r="K73" s="37">
        <v>10000</v>
      </c>
      <c r="L73" s="19">
        <f t="shared" si="5"/>
        <v>2224100</v>
      </c>
      <c r="M73" s="37"/>
      <c r="N73" s="37"/>
      <c r="O73" s="37">
        <v>2214100</v>
      </c>
      <c r="P73" s="37"/>
      <c r="Q73" s="37">
        <v>10000</v>
      </c>
    </row>
    <row r="74" spans="1:17" s="1" customFormat="1" ht="19.5" customHeight="1" hidden="1">
      <c r="A74" s="170"/>
      <c r="B74" s="266"/>
      <c r="C74" s="172" t="s">
        <v>171</v>
      </c>
      <c r="D74" s="99">
        <v>421224</v>
      </c>
      <c r="E74" s="100" t="s">
        <v>172</v>
      </c>
      <c r="F74" s="19">
        <f t="shared" si="4"/>
        <v>1204300</v>
      </c>
      <c r="G74" s="37"/>
      <c r="H74" s="37"/>
      <c r="I74" s="37">
        <v>1199300</v>
      </c>
      <c r="J74" s="37"/>
      <c r="K74" s="37">
        <v>5000</v>
      </c>
      <c r="L74" s="19">
        <f t="shared" si="5"/>
        <v>1204300</v>
      </c>
      <c r="M74" s="37"/>
      <c r="N74" s="37"/>
      <c r="O74" s="37">
        <v>1199300</v>
      </c>
      <c r="P74" s="37"/>
      <c r="Q74" s="37">
        <v>5000</v>
      </c>
    </row>
    <row r="75" spans="1:17" s="1" customFormat="1" ht="19.5" customHeight="1" hidden="1">
      <c r="A75" s="170"/>
      <c r="B75" s="266"/>
      <c r="C75" s="172" t="s">
        <v>173</v>
      </c>
      <c r="D75" s="99">
        <v>421225</v>
      </c>
      <c r="E75" s="100" t="s">
        <v>174</v>
      </c>
      <c r="F75" s="19">
        <f t="shared" si="4"/>
        <v>2084940</v>
      </c>
      <c r="G75" s="37"/>
      <c r="H75" s="37"/>
      <c r="I75" s="37">
        <v>2084940</v>
      </c>
      <c r="J75" s="37"/>
      <c r="K75" s="37"/>
      <c r="L75" s="19">
        <f t="shared" si="5"/>
        <v>2084940</v>
      </c>
      <c r="M75" s="37"/>
      <c r="N75" s="37"/>
      <c r="O75" s="37">
        <v>2084940</v>
      </c>
      <c r="P75" s="37"/>
      <c r="Q75" s="37"/>
    </row>
    <row r="76" spans="1:17" s="1" customFormat="1" ht="21" customHeight="1">
      <c r="A76" s="170"/>
      <c r="B76" s="148"/>
      <c r="C76" s="139" t="s">
        <v>70</v>
      </c>
      <c r="D76" s="101">
        <v>421300</v>
      </c>
      <c r="E76" s="169" t="s">
        <v>426</v>
      </c>
      <c r="F76" s="20">
        <f t="shared" si="4"/>
        <v>5762000</v>
      </c>
      <c r="G76" s="53"/>
      <c r="H76" s="53"/>
      <c r="I76" s="53">
        <f>+I77+I78+I80+I79</f>
        <v>5746000</v>
      </c>
      <c r="J76" s="53"/>
      <c r="K76" s="53">
        <f>+K77+K78+K80+K79</f>
        <v>16000</v>
      </c>
      <c r="L76" s="20">
        <f t="shared" si="5"/>
        <v>5762000</v>
      </c>
      <c r="M76" s="53"/>
      <c r="N76" s="53"/>
      <c r="O76" s="53">
        <f>+O77+O78+O80+O79</f>
        <v>5746000</v>
      </c>
      <c r="P76" s="53"/>
      <c r="Q76" s="53">
        <f>+Q77+Q78+Q80+Q79</f>
        <v>16000</v>
      </c>
    </row>
    <row r="77" spans="1:17" s="1" customFormat="1" ht="19.5" customHeight="1" hidden="1">
      <c r="A77" s="170"/>
      <c r="B77" s="266"/>
      <c r="C77" s="172" t="s">
        <v>175</v>
      </c>
      <c r="D77" s="99">
        <v>421311</v>
      </c>
      <c r="E77" s="100" t="s">
        <v>176</v>
      </c>
      <c r="F77" s="19">
        <f t="shared" si="4"/>
        <v>940000</v>
      </c>
      <c r="G77" s="37"/>
      <c r="H77" s="37"/>
      <c r="I77" s="37">
        <v>930000</v>
      </c>
      <c r="J77" s="37"/>
      <c r="K77" s="37">
        <v>10000</v>
      </c>
      <c r="L77" s="19">
        <f t="shared" si="5"/>
        <v>940000</v>
      </c>
      <c r="M77" s="37"/>
      <c r="N77" s="37"/>
      <c r="O77" s="37">
        <v>930000</v>
      </c>
      <c r="P77" s="37"/>
      <c r="Q77" s="37">
        <v>10000</v>
      </c>
    </row>
    <row r="78" spans="1:17" s="1" customFormat="1" ht="19.5" customHeight="1" hidden="1">
      <c r="A78" s="170"/>
      <c r="B78" s="266"/>
      <c r="C78" s="172" t="s">
        <v>177</v>
      </c>
      <c r="D78" s="99">
        <v>421324</v>
      </c>
      <c r="E78" s="100" t="s">
        <v>178</v>
      </c>
      <c r="F78" s="19">
        <f t="shared" si="4"/>
        <v>480000</v>
      </c>
      <c r="G78" s="37"/>
      <c r="H78" s="37"/>
      <c r="I78" s="37">
        <v>474000</v>
      </c>
      <c r="J78" s="37"/>
      <c r="K78" s="37">
        <v>6000</v>
      </c>
      <c r="L78" s="19">
        <f t="shared" si="5"/>
        <v>480000</v>
      </c>
      <c r="M78" s="37"/>
      <c r="N78" s="37"/>
      <c r="O78" s="37">
        <v>474000</v>
      </c>
      <c r="P78" s="37"/>
      <c r="Q78" s="37">
        <v>6000</v>
      </c>
    </row>
    <row r="79" spans="1:17" s="1" customFormat="1" ht="19.5" customHeight="1" hidden="1">
      <c r="A79" s="170"/>
      <c r="B79" s="171"/>
      <c r="C79" s="172" t="s">
        <v>179</v>
      </c>
      <c r="D79" s="99">
        <v>4213241</v>
      </c>
      <c r="E79" s="100" t="s">
        <v>415</v>
      </c>
      <c r="F79" s="19">
        <f t="shared" si="4"/>
        <v>22000</v>
      </c>
      <c r="G79" s="37"/>
      <c r="H79" s="37"/>
      <c r="I79" s="37">
        <v>22000</v>
      </c>
      <c r="J79" s="37"/>
      <c r="K79" s="37"/>
      <c r="L79" s="19">
        <f t="shared" si="5"/>
        <v>22000</v>
      </c>
      <c r="M79" s="37"/>
      <c r="N79" s="37"/>
      <c r="O79" s="37">
        <v>22000</v>
      </c>
      <c r="P79" s="37"/>
      <c r="Q79" s="37"/>
    </row>
    <row r="80" spans="1:17" s="1" customFormat="1" ht="19.5" customHeight="1" hidden="1">
      <c r="A80" s="170"/>
      <c r="B80" s="171"/>
      <c r="C80" s="172" t="s">
        <v>416</v>
      </c>
      <c r="D80" s="99">
        <v>421325</v>
      </c>
      <c r="E80" s="100" t="s">
        <v>180</v>
      </c>
      <c r="F80" s="19">
        <f t="shared" si="4"/>
        <v>4320000</v>
      </c>
      <c r="G80" s="37"/>
      <c r="H80" s="37"/>
      <c r="I80" s="37">
        <v>4320000</v>
      </c>
      <c r="J80" s="37"/>
      <c r="K80" s="37"/>
      <c r="L80" s="19">
        <f t="shared" si="5"/>
        <v>4320000</v>
      </c>
      <c r="M80" s="37"/>
      <c r="N80" s="37"/>
      <c r="O80" s="37">
        <v>4320000</v>
      </c>
      <c r="P80" s="37"/>
      <c r="Q80" s="37"/>
    </row>
    <row r="81" spans="1:17" s="1" customFormat="1" ht="24.75" customHeight="1">
      <c r="A81" s="170"/>
      <c r="B81" s="248"/>
      <c r="C81" s="254" t="s">
        <v>71</v>
      </c>
      <c r="D81" s="250">
        <v>421400</v>
      </c>
      <c r="E81" s="251" t="s">
        <v>427</v>
      </c>
      <c r="F81" s="252">
        <f t="shared" si="4"/>
        <v>2185053</v>
      </c>
      <c r="G81" s="253"/>
      <c r="H81" s="253"/>
      <c r="I81" s="253">
        <f>+I82+I85+I87+I84+I86+I83</f>
        <v>1925053</v>
      </c>
      <c r="J81" s="253"/>
      <c r="K81" s="253">
        <f>+K82+K85+K87+K84+K86+K88</f>
        <v>260000</v>
      </c>
      <c r="L81" s="252">
        <f t="shared" si="5"/>
        <v>2295053</v>
      </c>
      <c r="M81" s="253"/>
      <c r="N81" s="253"/>
      <c r="O81" s="253">
        <f>+O82+O85+O87+O84+O86+O83</f>
        <v>1925053</v>
      </c>
      <c r="P81" s="253"/>
      <c r="Q81" s="253">
        <f>+Q82+Q85+Q87+Q84+Q86+Q88</f>
        <v>370000</v>
      </c>
    </row>
    <row r="82" spans="1:17" s="1" customFormat="1" ht="22.5" customHeight="1" hidden="1">
      <c r="A82" s="170"/>
      <c r="B82" s="266"/>
      <c r="C82" s="172" t="s">
        <v>181</v>
      </c>
      <c r="D82" s="99">
        <v>421411</v>
      </c>
      <c r="E82" s="100" t="s">
        <v>182</v>
      </c>
      <c r="F82" s="19">
        <f t="shared" si="4"/>
        <v>745000</v>
      </c>
      <c r="G82" s="37"/>
      <c r="H82" s="37"/>
      <c r="I82" s="37">
        <f>845000-100000</f>
        <v>745000</v>
      </c>
      <c r="J82" s="37"/>
      <c r="K82" s="37"/>
      <c r="L82" s="19">
        <f t="shared" si="5"/>
        <v>745000</v>
      </c>
      <c r="M82" s="37"/>
      <c r="N82" s="37"/>
      <c r="O82" s="37">
        <f>845000-100000</f>
        <v>745000</v>
      </c>
      <c r="P82" s="37"/>
      <c r="Q82" s="37"/>
    </row>
    <row r="83" spans="1:17" s="1" customFormat="1" ht="22.5" customHeight="1" hidden="1">
      <c r="A83" s="170"/>
      <c r="B83" s="266"/>
      <c r="C83" s="172" t="s">
        <v>183</v>
      </c>
      <c r="D83" s="99">
        <v>42141101</v>
      </c>
      <c r="E83" s="100" t="s">
        <v>184</v>
      </c>
      <c r="F83" s="19">
        <f t="shared" si="4"/>
        <v>76000</v>
      </c>
      <c r="G83" s="37"/>
      <c r="H83" s="37"/>
      <c r="I83" s="37">
        <v>76000</v>
      </c>
      <c r="J83" s="37"/>
      <c r="K83" s="37"/>
      <c r="L83" s="19">
        <f t="shared" si="5"/>
        <v>76000</v>
      </c>
      <c r="M83" s="37"/>
      <c r="N83" s="37"/>
      <c r="O83" s="37">
        <v>76000</v>
      </c>
      <c r="P83" s="37"/>
      <c r="Q83" s="37"/>
    </row>
    <row r="84" spans="1:17" s="1" customFormat="1" ht="22.5" customHeight="1" hidden="1">
      <c r="A84" s="170"/>
      <c r="B84" s="266"/>
      <c r="C84" s="172" t="s">
        <v>185</v>
      </c>
      <c r="D84" s="99">
        <v>421412</v>
      </c>
      <c r="E84" s="100" t="s">
        <v>186</v>
      </c>
      <c r="F84" s="19">
        <f t="shared" si="4"/>
        <v>970000</v>
      </c>
      <c r="G84" s="37"/>
      <c r="H84" s="37"/>
      <c r="I84" s="37">
        <v>770000</v>
      </c>
      <c r="J84" s="37"/>
      <c r="K84" s="37">
        <v>200000</v>
      </c>
      <c r="L84" s="19">
        <f t="shared" si="5"/>
        <v>970000</v>
      </c>
      <c r="M84" s="37"/>
      <c r="N84" s="37"/>
      <c r="O84" s="37">
        <v>770000</v>
      </c>
      <c r="P84" s="37"/>
      <c r="Q84" s="37">
        <v>200000</v>
      </c>
    </row>
    <row r="85" spans="1:17" s="57" customFormat="1" ht="22.5" customHeight="1" hidden="1">
      <c r="A85" s="173"/>
      <c r="B85" s="266"/>
      <c r="C85" s="172" t="s">
        <v>187</v>
      </c>
      <c r="D85" s="99">
        <v>421414</v>
      </c>
      <c r="E85" s="100" t="s">
        <v>188</v>
      </c>
      <c r="F85" s="19">
        <f t="shared" si="4"/>
        <v>133553</v>
      </c>
      <c r="G85" s="37"/>
      <c r="H85" s="37"/>
      <c r="I85" s="37">
        <f>124000-447-20000</f>
        <v>103553</v>
      </c>
      <c r="J85" s="37"/>
      <c r="K85" s="37">
        <v>30000</v>
      </c>
      <c r="L85" s="19">
        <f t="shared" si="5"/>
        <v>243553</v>
      </c>
      <c r="M85" s="37"/>
      <c r="N85" s="37"/>
      <c r="O85" s="37">
        <f>124000-447-20000</f>
        <v>103553</v>
      </c>
      <c r="P85" s="37"/>
      <c r="Q85" s="37">
        <f>30000+110000</f>
        <v>140000</v>
      </c>
    </row>
    <row r="86" spans="1:17" s="1" customFormat="1" ht="22.5" customHeight="1" hidden="1">
      <c r="A86" s="170"/>
      <c r="B86" s="266"/>
      <c r="C86" s="172" t="s">
        <v>189</v>
      </c>
      <c r="D86" s="99">
        <v>421421</v>
      </c>
      <c r="E86" s="100" t="s">
        <v>190</v>
      </c>
      <c r="F86" s="19">
        <f t="shared" si="4"/>
        <v>228000</v>
      </c>
      <c r="G86" s="37"/>
      <c r="H86" s="37"/>
      <c r="I86" s="37">
        <v>228000</v>
      </c>
      <c r="J86" s="37"/>
      <c r="K86" s="37"/>
      <c r="L86" s="19">
        <f t="shared" si="5"/>
        <v>228000</v>
      </c>
      <c r="M86" s="37"/>
      <c r="N86" s="37"/>
      <c r="O86" s="37">
        <v>228000</v>
      </c>
      <c r="P86" s="37"/>
      <c r="Q86" s="37"/>
    </row>
    <row r="87" spans="1:17" s="1" customFormat="1" ht="22.5" customHeight="1" hidden="1">
      <c r="A87" s="170"/>
      <c r="B87" s="266"/>
      <c r="C87" s="172" t="s">
        <v>191</v>
      </c>
      <c r="D87" s="99">
        <v>421429</v>
      </c>
      <c r="E87" s="100" t="s">
        <v>192</v>
      </c>
      <c r="F87" s="19">
        <f t="shared" si="4"/>
        <v>2500</v>
      </c>
      <c r="G87" s="37"/>
      <c r="H87" s="37"/>
      <c r="I87" s="37">
        <v>2500</v>
      </c>
      <c r="J87" s="37"/>
      <c r="K87" s="37"/>
      <c r="L87" s="19">
        <f t="shared" si="5"/>
        <v>2500</v>
      </c>
      <c r="M87" s="37"/>
      <c r="N87" s="37"/>
      <c r="O87" s="37">
        <v>2500</v>
      </c>
      <c r="P87" s="37"/>
      <c r="Q87" s="37"/>
    </row>
    <row r="88" spans="1:17" s="3" customFormat="1" ht="19.5" customHeight="1" hidden="1">
      <c r="A88" s="170"/>
      <c r="B88" s="171"/>
      <c r="C88" s="172" t="s">
        <v>193</v>
      </c>
      <c r="D88" s="99">
        <v>421419</v>
      </c>
      <c r="E88" s="100" t="s">
        <v>194</v>
      </c>
      <c r="F88" s="19">
        <f>+K88</f>
        <v>30000</v>
      </c>
      <c r="G88" s="37"/>
      <c r="H88" s="37"/>
      <c r="I88" s="37"/>
      <c r="J88" s="37"/>
      <c r="K88" s="37">
        <v>30000</v>
      </c>
      <c r="L88" s="19">
        <f>+Q88</f>
        <v>30000</v>
      </c>
      <c r="M88" s="37"/>
      <c r="N88" s="37"/>
      <c r="O88" s="37"/>
      <c r="P88" s="37"/>
      <c r="Q88" s="37">
        <v>30000</v>
      </c>
    </row>
    <row r="89" spans="1:17" s="3" customFormat="1" ht="24.75" customHeight="1">
      <c r="A89" s="170"/>
      <c r="B89" s="148"/>
      <c r="C89" s="139" t="s">
        <v>72</v>
      </c>
      <c r="D89" s="101">
        <v>421500</v>
      </c>
      <c r="E89" s="169" t="s">
        <v>428</v>
      </c>
      <c r="F89" s="20">
        <f>SUM(G89:K89)</f>
        <v>1658834</v>
      </c>
      <c r="G89" s="53"/>
      <c r="H89" s="53"/>
      <c r="I89" s="53">
        <f>+I90+I91+I93+I92</f>
        <v>1653834</v>
      </c>
      <c r="J89" s="53"/>
      <c r="K89" s="53">
        <f>+K90+K91+K93+K92</f>
        <v>5000</v>
      </c>
      <c r="L89" s="20">
        <f>SUM(M89:Q89)</f>
        <v>1658834</v>
      </c>
      <c r="M89" s="53"/>
      <c r="N89" s="53"/>
      <c r="O89" s="53">
        <f>+O90+O91+O93+O92</f>
        <v>1653834</v>
      </c>
      <c r="P89" s="53"/>
      <c r="Q89" s="53">
        <f>+Q90+Q91+Q93+Q92</f>
        <v>5000</v>
      </c>
    </row>
    <row r="90" spans="1:17" s="3" customFormat="1" ht="19.5" customHeight="1" hidden="1">
      <c r="A90" s="170"/>
      <c r="B90" s="266"/>
      <c r="C90" s="172" t="s">
        <v>195</v>
      </c>
      <c r="D90" s="99">
        <v>421512</v>
      </c>
      <c r="E90" s="174" t="s">
        <v>196</v>
      </c>
      <c r="F90" s="19">
        <f>SUM(G90:K90)</f>
        <v>743000</v>
      </c>
      <c r="G90" s="37"/>
      <c r="H90" s="37"/>
      <c r="I90" s="37">
        <v>743000</v>
      </c>
      <c r="J90" s="37"/>
      <c r="K90" s="37"/>
      <c r="L90" s="19">
        <f>SUM(M90:Q90)</f>
        <v>743000</v>
      </c>
      <c r="M90" s="37"/>
      <c r="N90" s="37"/>
      <c r="O90" s="37">
        <v>743000</v>
      </c>
      <c r="P90" s="37"/>
      <c r="Q90" s="37"/>
    </row>
    <row r="91" spans="1:17" s="3" customFormat="1" ht="19.5" customHeight="1" hidden="1">
      <c r="A91" s="170"/>
      <c r="B91" s="266"/>
      <c r="C91" s="172" t="s">
        <v>197</v>
      </c>
      <c r="D91" s="99">
        <v>421513</v>
      </c>
      <c r="E91" s="174" t="s">
        <v>198</v>
      </c>
      <c r="F91" s="19">
        <f>SUM(G91:K91)</f>
        <v>181015</v>
      </c>
      <c r="G91" s="37"/>
      <c r="H91" s="37"/>
      <c r="I91" s="37">
        <v>181015</v>
      </c>
      <c r="J91" s="37"/>
      <c r="K91" s="37"/>
      <c r="L91" s="19">
        <f>SUM(M91:Q91)</f>
        <v>181015</v>
      </c>
      <c r="M91" s="37"/>
      <c r="N91" s="37"/>
      <c r="O91" s="37">
        <v>181015</v>
      </c>
      <c r="P91" s="37"/>
      <c r="Q91" s="37"/>
    </row>
    <row r="92" spans="1:17" s="3" customFormat="1" ht="19.5" customHeight="1" hidden="1">
      <c r="A92" s="170"/>
      <c r="B92" s="266"/>
      <c r="C92" s="172" t="s">
        <v>199</v>
      </c>
      <c r="D92" s="99">
        <v>421519</v>
      </c>
      <c r="E92" s="174" t="s">
        <v>200</v>
      </c>
      <c r="F92" s="19">
        <f>SUM(G92:K92)</f>
        <v>315771</v>
      </c>
      <c r="G92" s="37"/>
      <c r="H92" s="37"/>
      <c r="I92" s="37">
        <v>315771</v>
      </c>
      <c r="J92" s="37"/>
      <c r="K92" s="37"/>
      <c r="L92" s="19">
        <f>SUM(M92:Q92)</f>
        <v>315771</v>
      </c>
      <c r="M92" s="37"/>
      <c r="N92" s="37"/>
      <c r="O92" s="37">
        <v>315771</v>
      </c>
      <c r="P92" s="37"/>
      <c r="Q92" s="37"/>
    </row>
    <row r="93" spans="1:17" s="3" customFormat="1" ht="24" customHeight="1" hidden="1">
      <c r="A93" s="170"/>
      <c r="B93" s="266"/>
      <c r="C93" s="172" t="s">
        <v>201</v>
      </c>
      <c r="D93" s="99">
        <v>421521</v>
      </c>
      <c r="E93" s="174" t="s">
        <v>202</v>
      </c>
      <c r="F93" s="19">
        <f>SUM(G93:K93)</f>
        <v>419048</v>
      </c>
      <c r="G93" s="37"/>
      <c r="H93" s="37"/>
      <c r="I93" s="37">
        <v>414048</v>
      </c>
      <c r="J93" s="37"/>
      <c r="K93" s="37">
        <v>5000</v>
      </c>
      <c r="L93" s="19">
        <f>SUM(M93:Q93)</f>
        <v>419048</v>
      </c>
      <c r="M93" s="37"/>
      <c r="N93" s="37"/>
      <c r="O93" s="37">
        <v>414048</v>
      </c>
      <c r="P93" s="37"/>
      <c r="Q93" s="37">
        <v>5000</v>
      </c>
    </row>
    <row r="94" spans="1:17" s="3" customFormat="1" ht="24.75" customHeight="1">
      <c r="A94" s="170"/>
      <c r="B94" s="171"/>
      <c r="C94" s="139" t="s">
        <v>73</v>
      </c>
      <c r="D94" s="101">
        <v>421600</v>
      </c>
      <c r="E94" s="169" t="s">
        <v>429</v>
      </c>
      <c r="F94" s="20">
        <f>+I94+K94</f>
        <v>234500</v>
      </c>
      <c r="G94" s="37"/>
      <c r="H94" s="53"/>
      <c r="I94" s="53"/>
      <c r="J94" s="53"/>
      <c r="K94" s="53">
        <f>+K96+K95</f>
        <v>234500</v>
      </c>
      <c r="L94" s="20">
        <f>+O94+Q94</f>
        <v>234500</v>
      </c>
      <c r="M94" s="37"/>
      <c r="N94" s="53"/>
      <c r="O94" s="53"/>
      <c r="P94" s="53"/>
      <c r="Q94" s="53">
        <f>+Q96+Q95</f>
        <v>234500</v>
      </c>
    </row>
    <row r="95" spans="1:17" s="3" customFormat="1" ht="24.75" customHeight="1" hidden="1">
      <c r="A95" s="170"/>
      <c r="B95" s="175"/>
      <c r="C95" s="176" t="s">
        <v>203</v>
      </c>
      <c r="D95" s="99">
        <v>421619</v>
      </c>
      <c r="E95" s="145" t="s">
        <v>418</v>
      </c>
      <c r="F95" s="19">
        <f>SUM(G95:K95)</f>
        <v>104500</v>
      </c>
      <c r="G95" s="53"/>
      <c r="H95" s="53"/>
      <c r="I95" s="37"/>
      <c r="J95" s="37"/>
      <c r="K95" s="37">
        <f>9500*11</f>
        <v>104500</v>
      </c>
      <c r="L95" s="19">
        <f>SUM(M95:Q95)</f>
        <v>104500</v>
      </c>
      <c r="M95" s="53"/>
      <c r="N95" s="53"/>
      <c r="O95" s="37"/>
      <c r="P95" s="37"/>
      <c r="Q95" s="37">
        <f>9500*11</f>
        <v>104500</v>
      </c>
    </row>
    <row r="96" spans="1:17" s="3" customFormat="1" ht="27.75" customHeight="1" hidden="1">
      <c r="A96" s="170"/>
      <c r="B96" s="177"/>
      <c r="C96" s="176" t="s">
        <v>417</v>
      </c>
      <c r="D96" s="99">
        <v>421625</v>
      </c>
      <c r="E96" s="145" t="s">
        <v>204</v>
      </c>
      <c r="F96" s="19">
        <f>SUM(G96:K96)</f>
        <v>130000</v>
      </c>
      <c r="G96" s="53"/>
      <c r="H96" s="53"/>
      <c r="I96" s="37"/>
      <c r="J96" s="37"/>
      <c r="K96" s="37">
        <v>130000</v>
      </c>
      <c r="L96" s="19">
        <f>SUM(M96:Q96)</f>
        <v>130000</v>
      </c>
      <c r="M96" s="53"/>
      <c r="N96" s="53"/>
      <c r="O96" s="37"/>
      <c r="P96" s="37"/>
      <c r="Q96" s="37">
        <v>130000</v>
      </c>
    </row>
    <row r="97" spans="1:17" s="3" customFormat="1" ht="27" customHeight="1">
      <c r="A97" s="178">
        <v>2</v>
      </c>
      <c r="B97" s="152">
        <v>422000</v>
      </c>
      <c r="C97" s="179"/>
      <c r="D97" s="265" t="s">
        <v>74</v>
      </c>
      <c r="E97" s="265"/>
      <c r="F97" s="20">
        <f>SUM(G97:K97)</f>
        <v>1312000</v>
      </c>
      <c r="G97" s="38"/>
      <c r="H97" s="38"/>
      <c r="I97" s="20">
        <f>+I100+I98</f>
        <v>1241000</v>
      </c>
      <c r="J97" s="20"/>
      <c r="K97" s="20">
        <f>+K100</f>
        <v>71000</v>
      </c>
      <c r="L97" s="20">
        <f>SUM(M97:Q97)</f>
        <v>1312000</v>
      </c>
      <c r="M97" s="38"/>
      <c r="N97" s="38"/>
      <c r="O97" s="20">
        <f>+O100+O98</f>
        <v>1241000</v>
      </c>
      <c r="P97" s="20"/>
      <c r="Q97" s="20">
        <f>+Q100</f>
        <v>71000</v>
      </c>
    </row>
    <row r="98" spans="1:17" s="3" customFormat="1" ht="27.75" customHeight="1">
      <c r="A98" s="165"/>
      <c r="B98" s="132"/>
      <c r="C98" s="101" t="s">
        <v>75</v>
      </c>
      <c r="D98" s="102">
        <v>422100</v>
      </c>
      <c r="E98" s="103" t="s">
        <v>410</v>
      </c>
      <c r="F98" s="20">
        <f>+G98+H98+I98+J98+K98</f>
        <v>19000</v>
      </c>
      <c r="G98" s="38"/>
      <c r="H98" s="38"/>
      <c r="I98" s="20">
        <f>+I99</f>
        <v>19000</v>
      </c>
      <c r="J98" s="20"/>
      <c r="K98" s="20"/>
      <c r="L98" s="20">
        <f>+M98+N98+O98+P98+Q98</f>
        <v>19000</v>
      </c>
      <c r="M98" s="38"/>
      <c r="N98" s="38"/>
      <c r="O98" s="20">
        <f>+O99</f>
        <v>19000</v>
      </c>
      <c r="P98" s="20"/>
      <c r="Q98" s="20"/>
    </row>
    <row r="99" spans="1:17" s="3" customFormat="1" ht="21" customHeight="1" hidden="1">
      <c r="A99" s="165"/>
      <c r="B99" s="101"/>
      <c r="C99" s="99"/>
      <c r="D99" s="104">
        <v>422131</v>
      </c>
      <c r="E99" s="180" t="s">
        <v>410</v>
      </c>
      <c r="F99" s="19"/>
      <c r="G99" s="39"/>
      <c r="H99" s="39"/>
      <c r="I99" s="19">
        <v>19000</v>
      </c>
      <c r="J99" s="19"/>
      <c r="K99" s="19"/>
      <c r="L99" s="19"/>
      <c r="M99" s="39"/>
      <c r="N99" s="39"/>
      <c r="O99" s="19">
        <v>19000</v>
      </c>
      <c r="P99" s="19"/>
      <c r="Q99" s="19"/>
    </row>
    <row r="100" spans="1:17" s="3" customFormat="1" ht="24.75" customHeight="1">
      <c r="A100" s="181"/>
      <c r="B100" s="182"/>
      <c r="C100" s="182" t="s">
        <v>409</v>
      </c>
      <c r="D100" s="101">
        <v>422300</v>
      </c>
      <c r="E100" s="169" t="s">
        <v>76</v>
      </c>
      <c r="F100" s="20">
        <f>+G100+H100+I100+K100</f>
        <v>1293000</v>
      </c>
      <c r="G100" s="53"/>
      <c r="H100" s="53"/>
      <c r="I100" s="53">
        <f>+I102+I105+I101+I103+I104</f>
        <v>1222000</v>
      </c>
      <c r="J100" s="53"/>
      <c r="K100" s="53">
        <f>+K103+K101+K104+K102</f>
        <v>71000</v>
      </c>
      <c r="L100" s="20">
        <f>+M100+N100+O100+Q100</f>
        <v>1293000</v>
      </c>
      <c r="M100" s="53"/>
      <c r="N100" s="53"/>
      <c r="O100" s="53">
        <f>+O102+O105+O101+O103+O104</f>
        <v>1222000</v>
      </c>
      <c r="P100" s="53"/>
      <c r="Q100" s="53">
        <f>+Q103+Q101+Q104+Q102</f>
        <v>71000</v>
      </c>
    </row>
    <row r="101" spans="1:17" s="3" customFormat="1" ht="24.75" customHeight="1" hidden="1">
      <c r="A101" s="181"/>
      <c r="B101" s="183"/>
      <c r="C101" s="184" t="s">
        <v>205</v>
      </c>
      <c r="D101" s="99">
        <v>422311</v>
      </c>
      <c r="E101" s="100" t="s">
        <v>206</v>
      </c>
      <c r="F101" s="19">
        <f>+H101+I101+K101</f>
        <v>870000</v>
      </c>
      <c r="G101" s="37"/>
      <c r="H101" s="37"/>
      <c r="I101" s="37">
        <v>820000</v>
      </c>
      <c r="J101" s="37"/>
      <c r="K101" s="37">
        <v>50000</v>
      </c>
      <c r="L101" s="19">
        <f>+N101+O101+Q101</f>
        <v>870000</v>
      </c>
      <c r="M101" s="37"/>
      <c r="N101" s="37"/>
      <c r="O101" s="37">
        <v>820000</v>
      </c>
      <c r="P101" s="37"/>
      <c r="Q101" s="37">
        <v>50000</v>
      </c>
    </row>
    <row r="102" spans="1:17" s="3" customFormat="1" ht="27.75" customHeight="1" hidden="1">
      <c r="A102" s="181"/>
      <c r="B102" s="185"/>
      <c r="C102" s="184" t="s">
        <v>207</v>
      </c>
      <c r="D102" s="99">
        <v>422321</v>
      </c>
      <c r="E102" s="100" t="s">
        <v>76</v>
      </c>
      <c r="F102" s="19">
        <f>+H102+I102+K102</f>
        <v>217000</v>
      </c>
      <c r="G102" s="37"/>
      <c r="H102" s="37"/>
      <c r="I102" s="37">
        <v>217000</v>
      </c>
      <c r="J102" s="37"/>
      <c r="K102" s="37"/>
      <c r="L102" s="19">
        <f>+N102+O102+Q102</f>
        <v>217000</v>
      </c>
      <c r="M102" s="37"/>
      <c r="N102" s="37"/>
      <c r="O102" s="37">
        <v>217000</v>
      </c>
      <c r="P102" s="37"/>
      <c r="Q102" s="37"/>
    </row>
    <row r="103" spans="1:17" s="3" customFormat="1" ht="21.75" customHeight="1" hidden="1">
      <c r="A103" s="181"/>
      <c r="B103" s="185"/>
      <c r="C103" s="184" t="s">
        <v>208</v>
      </c>
      <c r="D103" s="99">
        <v>42232101</v>
      </c>
      <c r="E103" s="100" t="s">
        <v>209</v>
      </c>
      <c r="F103" s="19">
        <f>+H103+I103+K103</f>
        <v>45000</v>
      </c>
      <c r="G103" s="37"/>
      <c r="H103" s="37"/>
      <c r="I103" s="37">
        <v>25000</v>
      </c>
      <c r="J103" s="37"/>
      <c r="K103" s="37">
        <v>20000</v>
      </c>
      <c r="L103" s="19">
        <f>+N103+O103+Q103</f>
        <v>45000</v>
      </c>
      <c r="M103" s="37"/>
      <c r="N103" s="37"/>
      <c r="O103" s="37">
        <v>25000</v>
      </c>
      <c r="P103" s="37"/>
      <c r="Q103" s="37">
        <v>20000</v>
      </c>
    </row>
    <row r="104" spans="1:17" s="3" customFormat="1" ht="24.75" customHeight="1" hidden="1">
      <c r="A104" s="181"/>
      <c r="B104" s="185"/>
      <c r="C104" s="184" t="s">
        <v>210</v>
      </c>
      <c r="D104" s="99">
        <v>42232102</v>
      </c>
      <c r="E104" s="100" t="s">
        <v>211</v>
      </c>
      <c r="F104" s="19">
        <f>+H104+I104+K104</f>
        <v>11000</v>
      </c>
      <c r="G104" s="37"/>
      <c r="H104" s="37"/>
      <c r="I104" s="37">
        <v>10000</v>
      </c>
      <c r="J104" s="37"/>
      <c r="K104" s="37">
        <v>1000</v>
      </c>
      <c r="L104" s="19">
        <f>+N104+O104+Q104</f>
        <v>11000</v>
      </c>
      <c r="M104" s="37"/>
      <c r="N104" s="37"/>
      <c r="O104" s="37">
        <v>10000</v>
      </c>
      <c r="P104" s="37"/>
      <c r="Q104" s="37">
        <v>1000</v>
      </c>
    </row>
    <row r="105" spans="1:17" s="3" customFormat="1" ht="23.25" customHeight="1" hidden="1">
      <c r="A105" s="181"/>
      <c r="B105" s="185"/>
      <c r="C105" s="184" t="s">
        <v>212</v>
      </c>
      <c r="D105" s="99">
        <v>42232103</v>
      </c>
      <c r="E105" s="100" t="s">
        <v>213</v>
      </c>
      <c r="F105" s="19">
        <f>+H105+I105+K105</f>
        <v>150000</v>
      </c>
      <c r="G105" s="37"/>
      <c r="H105" s="37"/>
      <c r="I105" s="37">
        <v>150000</v>
      </c>
      <c r="J105" s="37"/>
      <c r="K105" s="37"/>
      <c r="L105" s="19">
        <f>+N105+O105+Q105</f>
        <v>150000</v>
      </c>
      <c r="M105" s="37"/>
      <c r="N105" s="37"/>
      <c r="O105" s="37">
        <v>150000</v>
      </c>
      <c r="P105" s="37"/>
      <c r="Q105" s="37"/>
    </row>
    <row r="106" spans="1:17" s="3" customFormat="1" ht="23.25" customHeight="1">
      <c r="A106" s="118">
        <v>3</v>
      </c>
      <c r="B106" s="138">
        <v>423000</v>
      </c>
      <c r="C106" s="99"/>
      <c r="D106" s="265" t="s">
        <v>77</v>
      </c>
      <c r="E106" s="265"/>
      <c r="F106" s="20">
        <f>SUM(G106:K106)</f>
        <v>7634500</v>
      </c>
      <c r="G106" s="38"/>
      <c r="H106" s="38"/>
      <c r="I106" s="20">
        <f>+I107+I109+I111+I115+I117+I122+I124+I127</f>
        <v>4669500</v>
      </c>
      <c r="J106" s="20"/>
      <c r="K106" s="20">
        <f>+K107+K109+K111+K115+K117+K122+K124+K127</f>
        <v>2965000</v>
      </c>
      <c r="L106" s="20">
        <f>SUM(M106:Q106)</f>
        <v>7524500</v>
      </c>
      <c r="M106" s="38"/>
      <c r="N106" s="38"/>
      <c r="O106" s="20">
        <f>+O107+O109+O111+O115+O117+O122+O124+O127</f>
        <v>4669500</v>
      </c>
      <c r="P106" s="20"/>
      <c r="Q106" s="20">
        <f>+Q107+Q109+Q111+Q115+Q117+Q122+Q124+Q127</f>
        <v>2855000</v>
      </c>
    </row>
    <row r="107" spans="1:17" s="3" customFormat="1" ht="24.75" customHeight="1">
      <c r="A107" s="140"/>
      <c r="B107" s="152"/>
      <c r="C107" s="186" t="s">
        <v>78</v>
      </c>
      <c r="D107" s="101">
        <v>423100</v>
      </c>
      <c r="E107" s="126" t="s">
        <v>79</v>
      </c>
      <c r="F107" s="20">
        <f>SUM(G107:K107)</f>
        <v>1550000</v>
      </c>
      <c r="G107" s="38"/>
      <c r="H107" s="38"/>
      <c r="I107" s="20"/>
      <c r="J107" s="20"/>
      <c r="K107" s="20">
        <f>+K108</f>
        <v>1550000</v>
      </c>
      <c r="L107" s="20">
        <f>SUM(M107:Q107)</f>
        <v>1550000</v>
      </c>
      <c r="M107" s="38"/>
      <c r="N107" s="38"/>
      <c r="O107" s="20"/>
      <c r="P107" s="20"/>
      <c r="Q107" s="20">
        <f>+Q108</f>
        <v>1550000</v>
      </c>
    </row>
    <row r="108" spans="1:17" s="3" customFormat="1" ht="24.75" customHeight="1" hidden="1">
      <c r="A108" s="142"/>
      <c r="B108" s="152"/>
      <c r="C108" s="172" t="s">
        <v>214</v>
      </c>
      <c r="D108" s="99">
        <v>423191</v>
      </c>
      <c r="E108" s="169" t="s">
        <v>215</v>
      </c>
      <c r="F108" s="19">
        <f>SUM(G108:K108)</f>
        <v>1550000</v>
      </c>
      <c r="G108" s="37"/>
      <c r="H108" s="37"/>
      <c r="I108" s="37"/>
      <c r="J108" s="37"/>
      <c r="K108" s="37">
        <v>1550000</v>
      </c>
      <c r="L108" s="19">
        <f>SUM(M108:Q108)</f>
        <v>1550000</v>
      </c>
      <c r="M108" s="37"/>
      <c r="N108" s="37"/>
      <c r="O108" s="37"/>
      <c r="P108" s="37"/>
      <c r="Q108" s="37">
        <v>1550000</v>
      </c>
    </row>
    <row r="109" spans="1:17" s="3" customFormat="1" ht="24.75" customHeight="1">
      <c r="A109" s="147"/>
      <c r="B109" s="148"/>
      <c r="C109" s="186" t="s">
        <v>80</v>
      </c>
      <c r="D109" s="101">
        <v>423200</v>
      </c>
      <c r="E109" s="169" t="s">
        <v>81</v>
      </c>
      <c r="F109" s="20">
        <f>SUM(G109:K109)</f>
        <v>2420000</v>
      </c>
      <c r="G109" s="53"/>
      <c r="H109" s="53"/>
      <c r="I109" s="53">
        <f>+I110</f>
        <v>2420000</v>
      </c>
      <c r="J109" s="53"/>
      <c r="K109" s="53"/>
      <c r="L109" s="20">
        <f>SUM(M109:Q109)</f>
        <v>2420000</v>
      </c>
      <c r="M109" s="53"/>
      <c r="N109" s="53"/>
      <c r="O109" s="53">
        <f>+O110</f>
        <v>2420000</v>
      </c>
      <c r="P109" s="53"/>
      <c r="Q109" s="53"/>
    </row>
    <row r="110" spans="1:17" s="3" customFormat="1" ht="19.5" customHeight="1" hidden="1">
      <c r="A110" s="147"/>
      <c r="B110" s="171"/>
      <c r="C110" s="172" t="s">
        <v>216</v>
      </c>
      <c r="D110" s="99">
        <v>423212</v>
      </c>
      <c r="E110" s="100" t="s">
        <v>217</v>
      </c>
      <c r="F110" s="19">
        <f>+I110</f>
        <v>2420000</v>
      </c>
      <c r="G110" s="37"/>
      <c r="H110" s="37"/>
      <c r="I110" s="37">
        <f>2520000-100000</f>
        <v>2420000</v>
      </c>
      <c r="J110" s="37"/>
      <c r="K110" s="37"/>
      <c r="L110" s="19">
        <f>+O110</f>
        <v>2420000</v>
      </c>
      <c r="M110" s="37"/>
      <c r="N110" s="37"/>
      <c r="O110" s="37">
        <f>2520000-100000</f>
        <v>2420000</v>
      </c>
      <c r="P110" s="37"/>
      <c r="Q110" s="37"/>
    </row>
    <row r="111" spans="1:17" s="3" customFormat="1" ht="24.75" customHeight="1">
      <c r="A111" s="147"/>
      <c r="B111" s="148"/>
      <c r="C111" s="186" t="s">
        <v>82</v>
      </c>
      <c r="D111" s="101">
        <v>423300</v>
      </c>
      <c r="E111" s="169" t="s">
        <v>83</v>
      </c>
      <c r="F111" s="20">
        <f aca="true" t="shared" si="6" ref="F111:F124">SUM(G111:K111)</f>
        <v>1305000</v>
      </c>
      <c r="G111" s="53"/>
      <c r="H111" s="53"/>
      <c r="I111" s="53">
        <f>+I112+I114+I113</f>
        <v>1105000</v>
      </c>
      <c r="J111" s="53"/>
      <c r="K111" s="53">
        <f>+K112+K114+K113</f>
        <v>200000</v>
      </c>
      <c r="L111" s="20">
        <f aca="true" t="shared" si="7" ref="L111:L124">SUM(M111:Q111)</f>
        <v>1305000</v>
      </c>
      <c r="M111" s="53"/>
      <c r="N111" s="53"/>
      <c r="O111" s="53">
        <f>+O112+O114+O113</f>
        <v>1105000</v>
      </c>
      <c r="P111" s="53"/>
      <c r="Q111" s="53">
        <f>+Q112+Q114+Q113</f>
        <v>200000</v>
      </c>
    </row>
    <row r="112" spans="1:17" s="3" customFormat="1" ht="24.75" customHeight="1" hidden="1">
      <c r="A112" s="147"/>
      <c r="B112" s="266"/>
      <c r="C112" s="172" t="s">
        <v>218</v>
      </c>
      <c r="D112" s="99">
        <v>423311</v>
      </c>
      <c r="E112" s="100" t="s">
        <v>219</v>
      </c>
      <c r="F112" s="19">
        <f t="shared" si="6"/>
        <v>1010000</v>
      </c>
      <c r="G112" s="37"/>
      <c r="H112" s="37"/>
      <c r="I112" s="37">
        <v>1010000</v>
      </c>
      <c r="J112" s="37"/>
      <c r="K112" s="37"/>
      <c r="L112" s="19">
        <f t="shared" si="7"/>
        <v>1010000</v>
      </c>
      <c r="M112" s="37"/>
      <c r="N112" s="37"/>
      <c r="O112" s="37">
        <v>1010000</v>
      </c>
      <c r="P112" s="37"/>
      <c r="Q112" s="37"/>
    </row>
    <row r="113" spans="1:17" s="3" customFormat="1" ht="19.5" customHeight="1" hidden="1">
      <c r="A113" s="147"/>
      <c r="B113" s="266"/>
      <c r="C113" s="172" t="s">
        <v>220</v>
      </c>
      <c r="D113" s="99">
        <v>42331101</v>
      </c>
      <c r="E113" s="100" t="s">
        <v>221</v>
      </c>
      <c r="F113" s="19">
        <f t="shared" si="6"/>
        <v>230000</v>
      </c>
      <c r="G113" s="37"/>
      <c r="H113" s="37"/>
      <c r="I113" s="37">
        <v>80000</v>
      </c>
      <c r="J113" s="37"/>
      <c r="K113" s="37">
        <v>150000</v>
      </c>
      <c r="L113" s="19">
        <f t="shared" si="7"/>
        <v>230000</v>
      </c>
      <c r="M113" s="37"/>
      <c r="N113" s="37"/>
      <c r="O113" s="37">
        <v>80000</v>
      </c>
      <c r="P113" s="37"/>
      <c r="Q113" s="37">
        <v>150000</v>
      </c>
    </row>
    <row r="114" spans="1:17" s="3" customFormat="1" ht="19.5" customHeight="1" hidden="1">
      <c r="A114" s="147"/>
      <c r="B114" s="266"/>
      <c r="C114" s="172" t="s">
        <v>222</v>
      </c>
      <c r="D114" s="99">
        <v>423321</v>
      </c>
      <c r="E114" s="100" t="s">
        <v>223</v>
      </c>
      <c r="F114" s="19">
        <f t="shared" si="6"/>
        <v>65000</v>
      </c>
      <c r="G114" s="37"/>
      <c r="H114" s="37"/>
      <c r="I114" s="37">
        <v>15000</v>
      </c>
      <c r="J114" s="37"/>
      <c r="K114" s="37">
        <v>50000</v>
      </c>
      <c r="L114" s="19">
        <f t="shared" si="7"/>
        <v>65000</v>
      </c>
      <c r="M114" s="37"/>
      <c r="N114" s="37"/>
      <c r="O114" s="37">
        <v>15000</v>
      </c>
      <c r="P114" s="37"/>
      <c r="Q114" s="37">
        <v>50000</v>
      </c>
    </row>
    <row r="115" spans="1:17" s="3" customFormat="1" ht="24.75" customHeight="1">
      <c r="A115" s="147"/>
      <c r="B115" s="148"/>
      <c r="C115" s="186" t="s">
        <v>84</v>
      </c>
      <c r="D115" s="101">
        <v>423400</v>
      </c>
      <c r="E115" s="169" t="s">
        <v>85</v>
      </c>
      <c r="F115" s="20">
        <f t="shared" si="6"/>
        <v>105000</v>
      </c>
      <c r="G115" s="53"/>
      <c r="H115" s="53"/>
      <c r="I115" s="53">
        <f>+I116</f>
        <v>90000</v>
      </c>
      <c r="J115" s="53"/>
      <c r="K115" s="53">
        <f>+K116</f>
        <v>15000</v>
      </c>
      <c r="L115" s="20">
        <f t="shared" si="7"/>
        <v>105000</v>
      </c>
      <c r="M115" s="53"/>
      <c r="N115" s="53"/>
      <c r="O115" s="53">
        <f>+O116</f>
        <v>90000</v>
      </c>
      <c r="P115" s="53"/>
      <c r="Q115" s="53">
        <f>+Q116</f>
        <v>15000</v>
      </c>
    </row>
    <row r="116" spans="1:17" s="3" customFormat="1" ht="28.5" customHeight="1" hidden="1">
      <c r="A116" s="147"/>
      <c r="B116" s="171"/>
      <c r="C116" s="172" t="s">
        <v>224</v>
      </c>
      <c r="D116" s="99">
        <v>423432</v>
      </c>
      <c r="E116" s="100" t="s">
        <v>225</v>
      </c>
      <c r="F116" s="19">
        <f t="shared" si="6"/>
        <v>105000</v>
      </c>
      <c r="G116" s="37"/>
      <c r="H116" s="37"/>
      <c r="I116" s="37">
        <v>90000</v>
      </c>
      <c r="J116" s="37"/>
      <c r="K116" s="37">
        <v>15000</v>
      </c>
      <c r="L116" s="19">
        <f t="shared" si="7"/>
        <v>105000</v>
      </c>
      <c r="M116" s="37"/>
      <c r="N116" s="37"/>
      <c r="O116" s="37">
        <v>90000</v>
      </c>
      <c r="P116" s="37"/>
      <c r="Q116" s="37">
        <v>15000</v>
      </c>
    </row>
    <row r="117" spans="1:17" s="3" customFormat="1" ht="24.75" customHeight="1">
      <c r="A117" s="147"/>
      <c r="B117" s="171"/>
      <c r="C117" s="186" t="s">
        <v>86</v>
      </c>
      <c r="D117" s="101">
        <v>423500</v>
      </c>
      <c r="E117" s="169" t="s">
        <v>87</v>
      </c>
      <c r="F117" s="20">
        <f t="shared" si="6"/>
        <v>600000</v>
      </c>
      <c r="G117" s="53"/>
      <c r="H117" s="53"/>
      <c r="I117" s="53"/>
      <c r="J117" s="53"/>
      <c r="K117" s="53">
        <f>+K118+K119+K120+K121</f>
        <v>600000</v>
      </c>
      <c r="L117" s="20">
        <f t="shared" si="7"/>
        <v>600000</v>
      </c>
      <c r="M117" s="53"/>
      <c r="N117" s="53"/>
      <c r="O117" s="53"/>
      <c r="P117" s="53"/>
      <c r="Q117" s="53">
        <f>+Q118+Q119+Q120+Q121</f>
        <v>600000</v>
      </c>
    </row>
    <row r="118" spans="1:17" s="3" customFormat="1" ht="22.5" customHeight="1" hidden="1">
      <c r="A118" s="147"/>
      <c r="B118" s="171"/>
      <c r="C118" s="172" t="s">
        <v>226</v>
      </c>
      <c r="D118" s="99">
        <v>423591</v>
      </c>
      <c r="E118" s="100" t="s">
        <v>162</v>
      </c>
      <c r="F118" s="19">
        <f t="shared" si="6"/>
        <v>250000</v>
      </c>
      <c r="G118" s="37"/>
      <c r="H118" s="37"/>
      <c r="I118" s="37"/>
      <c r="J118" s="37"/>
      <c r="K118" s="37">
        <v>250000</v>
      </c>
      <c r="L118" s="19">
        <f t="shared" si="7"/>
        <v>250000</v>
      </c>
      <c r="M118" s="37"/>
      <c r="N118" s="37"/>
      <c r="O118" s="37"/>
      <c r="P118" s="37"/>
      <c r="Q118" s="37">
        <v>250000</v>
      </c>
    </row>
    <row r="119" spans="1:17" s="3" customFormat="1" ht="22.5" customHeight="1" hidden="1">
      <c r="A119" s="147"/>
      <c r="B119" s="148"/>
      <c r="C119" s="172" t="s">
        <v>227</v>
      </c>
      <c r="D119" s="99">
        <v>4235991</v>
      </c>
      <c r="E119" s="187" t="s">
        <v>228</v>
      </c>
      <c r="F119" s="19">
        <f t="shared" si="6"/>
        <v>220000</v>
      </c>
      <c r="G119" s="37"/>
      <c r="H119" s="37"/>
      <c r="I119" s="37"/>
      <c r="J119" s="37"/>
      <c r="K119" s="37">
        <v>220000</v>
      </c>
      <c r="L119" s="19">
        <f t="shared" si="7"/>
        <v>220000</v>
      </c>
      <c r="M119" s="37"/>
      <c r="N119" s="37"/>
      <c r="O119" s="37"/>
      <c r="P119" s="37"/>
      <c r="Q119" s="37">
        <v>220000</v>
      </c>
    </row>
    <row r="120" spans="1:17" s="3" customFormat="1" ht="22.5" customHeight="1" hidden="1">
      <c r="A120" s="147"/>
      <c r="B120" s="148"/>
      <c r="C120" s="172" t="s">
        <v>229</v>
      </c>
      <c r="D120" s="99">
        <v>4235992</v>
      </c>
      <c r="E120" s="169" t="s">
        <v>230</v>
      </c>
      <c r="F120" s="19">
        <f t="shared" si="6"/>
        <v>80000</v>
      </c>
      <c r="G120" s="37"/>
      <c r="H120" s="37"/>
      <c r="I120" s="37"/>
      <c r="J120" s="37"/>
      <c r="K120" s="37">
        <v>80000</v>
      </c>
      <c r="L120" s="19">
        <f t="shared" si="7"/>
        <v>80000</v>
      </c>
      <c r="M120" s="37"/>
      <c r="N120" s="37"/>
      <c r="O120" s="37"/>
      <c r="P120" s="37"/>
      <c r="Q120" s="37">
        <v>80000</v>
      </c>
    </row>
    <row r="121" spans="1:17" s="3" customFormat="1" ht="22.5" customHeight="1" hidden="1">
      <c r="A121" s="147"/>
      <c r="B121" s="148"/>
      <c r="C121" s="172" t="s">
        <v>231</v>
      </c>
      <c r="D121" s="99">
        <v>423599</v>
      </c>
      <c r="E121" s="169" t="s">
        <v>232</v>
      </c>
      <c r="F121" s="19">
        <f t="shared" si="6"/>
        <v>50000</v>
      </c>
      <c r="G121" s="37"/>
      <c r="H121" s="37"/>
      <c r="I121" s="37"/>
      <c r="J121" s="37"/>
      <c r="K121" s="37">
        <v>50000</v>
      </c>
      <c r="L121" s="19">
        <f t="shared" si="7"/>
        <v>50000</v>
      </c>
      <c r="M121" s="37"/>
      <c r="N121" s="37"/>
      <c r="O121" s="37"/>
      <c r="P121" s="37"/>
      <c r="Q121" s="37">
        <v>50000</v>
      </c>
    </row>
    <row r="122" spans="1:17" s="1" customFormat="1" ht="24.75" customHeight="1">
      <c r="A122" s="147"/>
      <c r="B122" s="148"/>
      <c r="C122" s="186" t="s">
        <v>88</v>
      </c>
      <c r="D122" s="101">
        <v>423600</v>
      </c>
      <c r="E122" s="169" t="s">
        <v>89</v>
      </c>
      <c r="F122" s="20">
        <f t="shared" si="6"/>
        <v>984500</v>
      </c>
      <c r="G122" s="53"/>
      <c r="H122" s="53"/>
      <c r="I122" s="53">
        <f>+I123</f>
        <v>984500</v>
      </c>
      <c r="J122" s="53"/>
      <c r="K122" s="53"/>
      <c r="L122" s="20">
        <f t="shared" si="7"/>
        <v>984500</v>
      </c>
      <c r="M122" s="53"/>
      <c r="N122" s="53"/>
      <c r="O122" s="53">
        <f>+O123</f>
        <v>984500</v>
      </c>
      <c r="P122" s="53"/>
      <c r="Q122" s="53"/>
    </row>
    <row r="123" spans="1:17" s="1" customFormat="1" ht="19.5" customHeight="1" hidden="1">
      <c r="A123" s="147"/>
      <c r="B123" s="148"/>
      <c r="C123" s="172" t="s">
        <v>233</v>
      </c>
      <c r="D123" s="99">
        <v>423611</v>
      </c>
      <c r="E123" s="100" t="s">
        <v>234</v>
      </c>
      <c r="F123" s="19">
        <f t="shared" si="6"/>
        <v>984500</v>
      </c>
      <c r="G123" s="37"/>
      <c r="H123" s="37"/>
      <c r="I123" s="37">
        <f>986000-1500</f>
        <v>984500</v>
      </c>
      <c r="J123" s="37"/>
      <c r="K123" s="53"/>
      <c r="L123" s="19">
        <f t="shared" si="7"/>
        <v>984500</v>
      </c>
      <c r="M123" s="37"/>
      <c r="N123" s="37"/>
      <c r="O123" s="37">
        <f>986000-1500</f>
        <v>984500</v>
      </c>
      <c r="P123" s="37"/>
      <c r="Q123" s="53"/>
    </row>
    <row r="124" spans="1:17" s="1" customFormat="1" ht="24.75" customHeight="1">
      <c r="A124" s="147"/>
      <c r="B124" s="248"/>
      <c r="C124" s="249" t="s">
        <v>90</v>
      </c>
      <c r="D124" s="250">
        <v>423700</v>
      </c>
      <c r="E124" s="251" t="s">
        <v>91</v>
      </c>
      <c r="F124" s="252">
        <f t="shared" si="6"/>
        <v>500000</v>
      </c>
      <c r="G124" s="253"/>
      <c r="H124" s="253"/>
      <c r="I124" s="253"/>
      <c r="J124" s="253"/>
      <c r="K124" s="253">
        <f>+K125+K126</f>
        <v>500000</v>
      </c>
      <c r="L124" s="252">
        <f t="shared" si="7"/>
        <v>390000</v>
      </c>
      <c r="M124" s="253"/>
      <c r="N124" s="253"/>
      <c r="O124" s="253"/>
      <c r="P124" s="253"/>
      <c r="Q124" s="253">
        <f>+Q125+Q126</f>
        <v>390000</v>
      </c>
    </row>
    <row r="125" spans="1:17" s="1" customFormat="1" ht="19.5" customHeight="1" hidden="1">
      <c r="A125" s="147"/>
      <c r="B125" s="148"/>
      <c r="C125" s="172" t="s">
        <v>235</v>
      </c>
      <c r="D125" s="99">
        <v>423711</v>
      </c>
      <c r="E125" s="100" t="s">
        <v>91</v>
      </c>
      <c r="F125" s="19">
        <f>+K125</f>
        <v>440000</v>
      </c>
      <c r="G125" s="37"/>
      <c r="H125" s="37"/>
      <c r="I125" s="37"/>
      <c r="J125" s="37"/>
      <c r="K125" s="37">
        <v>440000</v>
      </c>
      <c r="L125" s="19">
        <f>+Q125</f>
        <v>330000</v>
      </c>
      <c r="M125" s="37"/>
      <c r="N125" s="37"/>
      <c r="O125" s="37"/>
      <c r="P125" s="37"/>
      <c r="Q125" s="37">
        <f>440000-110000</f>
        <v>330000</v>
      </c>
    </row>
    <row r="126" spans="1:17" s="1" customFormat="1" ht="19.5" customHeight="1" hidden="1">
      <c r="A126" s="147"/>
      <c r="B126" s="148"/>
      <c r="C126" s="172" t="s">
        <v>236</v>
      </c>
      <c r="D126" s="99">
        <v>423712</v>
      </c>
      <c r="E126" s="100" t="s">
        <v>237</v>
      </c>
      <c r="F126" s="19">
        <f>+K126</f>
        <v>60000</v>
      </c>
      <c r="G126" s="37"/>
      <c r="H126" s="37"/>
      <c r="I126" s="37"/>
      <c r="J126" s="37"/>
      <c r="K126" s="37">
        <v>60000</v>
      </c>
      <c r="L126" s="19">
        <f>+Q126</f>
        <v>60000</v>
      </c>
      <c r="M126" s="37"/>
      <c r="N126" s="37"/>
      <c r="O126" s="37"/>
      <c r="P126" s="37"/>
      <c r="Q126" s="37">
        <v>60000</v>
      </c>
    </row>
    <row r="127" spans="1:17" s="1" customFormat="1" ht="24.75" customHeight="1">
      <c r="A127" s="147"/>
      <c r="B127" s="148"/>
      <c r="C127" s="186" t="s">
        <v>92</v>
      </c>
      <c r="D127" s="101">
        <v>423900</v>
      </c>
      <c r="E127" s="169" t="s">
        <v>93</v>
      </c>
      <c r="F127" s="20">
        <f>SUM(G127:K127)</f>
        <v>170000</v>
      </c>
      <c r="G127" s="53"/>
      <c r="H127" s="53"/>
      <c r="I127" s="53">
        <f>+I128</f>
        <v>70000</v>
      </c>
      <c r="J127" s="53"/>
      <c r="K127" s="53">
        <f>+K128</f>
        <v>100000</v>
      </c>
      <c r="L127" s="20">
        <f>SUM(M127:Q127)</f>
        <v>170000</v>
      </c>
      <c r="M127" s="53"/>
      <c r="N127" s="53"/>
      <c r="O127" s="53">
        <f>+O128</f>
        <v>70000</v>
      </c>
      <c r="P127" s="53"/>
      <c r="Q127" s="53">
        <f>+Q128</f>
        <v>100000</v>
      </c>
    </row>
    <row r="128" spans="1:17" s="1" customFormat="1" ht="19.5" customHeight="1" hidden="1">
      <c r="A128" s="188"/>
      <c r="B128" s="189"/>
      <c r="C128" s="184" t="s">
        <v>238</v>
      </c>
      <c r="D128" s="99">
        <v>423911</v>
      </c>
      <c r="E128" s="169" t="s">
        <v>93</v>
      </c>
      <c r="F128" s="19">
        <f>SUM(G128:K128)</f>
        <v>170000</v>
      </c>
      <c r="G128" s="37"/>
      <c r="H128" s="37"/>
      <c r="I128" s="37">
        <v>70000</v>
      </c>
      <c r="J128" s="37"/>
      <c r="K128" s="37">
        <v>100000</v>
      </c>
      <c r="L128" s="19">
        <f>SUM(M128:Q128)</f>
        <v>170000</v>
      </c>
      <c r="M128" s="37"/>
      <c r="N128" s="37"/>
      <c r="O128" s="37">
        <v>70000</v>
      </c>
      <c r="P128" s="37"/>
      <c r="Q128" s="37">
        <v>100000</v>
      </c>
    </row>
    <row r="129" spans="1:17" s="1" customFormat="1" ht="25.5" customHeight="1">
      <c r="A129" s="131">
        <v>4</v>
      </c>
      <c r="B129" s="138">
        <v>424000</v>
      </c>
      <c r="C129" s="99"/>
      <c r="D129" s="265" t="s">
        <v>94</v>
      </c>
      <c r="E129" s="265"/>
      <c r="F129" s="20">
        <f>SUM(G129:K129)</f>
        <v>1930000</v>
      </c>
      <c r="G129" s="38"/>
      <c r="H129" s="38"/>
      <c r="I129" s="20">
        <f>+I130+I135+I133</f>
        <v>226000</v>
      </c>
      <c r="J129" s="20"/>
      <c r="K129" s="20">
        <f>+K130+K136+K133</f>
        <v>1704000</v>
      </c>
      <c r="L129" s="20">
        <f>SUM(M129:Q129)</f>
        <v>1930000</v>
      </c>
      <c r="M129" s="38"/>
      <c r="N129" s="38"/>
      <c r="O129" s="20">
        <f>+O130+O135+O133</f>
        <v>226000</v>
      </c>
      <c r="P129" s="20"/>
      <c r="Q129" s="20">
        <f>+Q130+Q136+Q133</f>
        <v>1704000</v>
      </c>
    </row>
    <row r="130" spans="1:17" s="1" customFormat="1" ht="24.75" customHeight="1">
      <c r="A130" s="190"/>
      <c r="B130" s="148"/>
      <c r="C130" s="186" t="s">
        <v>95</v>
      </c>
      <c r="D130" s="101">
        <v>424300</v>
      </c>
      <c r="E130" s="169" t="s">
        <v>96</v>
      </c>
      <c r="F130" s="20">
        <f>SUM(G130:K130)</f>
        <v>306000</v>
      </c>
      <c r="G130" s="53"/>
      <c r="H130" s="53"/>
      <c r="I130" s="53">
        <f>+I131</f>
        <v>206000</v>
      </c>
      <c r="J130" s="53"/>
      <c r="K130" s="53">
        <f>+K131+K132</f>
        <v>100000</v>
      </c>
      <c r="L130" s="20">
        <f>SUM(M130:Q130)</f>
        <v>306000</v>
      </c>
      <c r="M130" s="53"/>
      <c r="N130" s="53"/>
      <c r="O130" s="53">
        <f>+O131</f>
        <v>206000</v>
      </c>
      <c r="P130" s="53"/>
      <c r="Q130" s="53">
        <f>+Q131+Q132</f>
        <v>100000</v>
      </c>
    </row>
    <row r="131" spans="1:17" s="1" customFormat="1" ht="26.25" customHeight="1" hidden="1">
      <c r="A131" s="147"/>
      <c r="B131" s="171"/>
      <c r="C131" s="191" t="s">
        <v>239</v>
      </c>
      <c r="D131" s="107">
        <v>424331</v>
      </c>
      <c r="E131" s="150" t="s">
        <v>240</v>
      </c>
      <c r="F131" s="19">
        <f>SUM(G131:K131)</f>
        <v>206000</v>
      </c>
      <c r="G131" s="37"/>
      <c r="H131" s="37"/>
      <c r="I131" s="37">
        <v>206000</v>
      </c>
      <c r="J131" s="37"/>
      <c r="K131" s="37"/>
      <c r="L131" s="19">
        <f>SUM(M131:Q131)</f>
        <v>206000</v>
      </c>
      <c r="M131" s="37"/>
      <c r="N131" s="37"/>
      <c r="O131" s="37">
        <v>206000</v>
      </c>
      <c r="P131" s="37"/>
      <c r="Q131" s="37"/>
    </row>
    <row r="132" spans="1:17" s="1" customFormat="1" ht="19.5" customHeight="1" hidden="1">
      <c r="A132" s="147"/>
      <c r="B132" s="171"/>
      <c r="C132" s="191" t="s">
        <v>241</v>
      </c>
      <c r="D132" s="107">
        <v>424351</v>
      </c>
      <c r="E132" s="136" t="s">
        <v>242</v>
      </c>
      <c r="F132" s="19">
        <f>+K132</f>
        <v>100000</v>
      </c>
      <c r="G132" s="37"/>
      <c r="H132" s="37"/>
      <c r="I132" s="37"/>
      <c r="J132" s="37"/>
      <c r="K132" s="37">
        <v>100000</v>
      </c>
      <c r="L132" s="19">
        <f>+Q132</f>
        <v>100000</v>
      </c>
      <c r="M132" s="37"/>
      <c r="N132" s="37"/>
      <c r="O132" s="37"/>
      <c r="P132" s="37"/>
      <c r="Q132" s="37">
        <v>100000</v>
      </c>
    </row>
    <row r="133" spans="1:17" s="1" customFormat="1" ht="29.25" customHeight="1">
      <c r="A133" s="147"/>
      <c r="B133" s="171"/>
      <c r="C133" s="192" t="s">
        <v>97</v>
      </c>
      <c r="D133" s="138">
        <v>424600</v>
      </c>
      <c r="E133" s="193" t="s">
        <v>98</v>
      </c>
      <c r="F133" s="20">
        <f>+I133+K133</f>
        <v>44000</v>
      </c>
      <c r="G133" s="53"/>
      <c r="H133" s="53"/>
      <c r="I133" s="53">
        <f>+I134</f>
        <v>20000</v>
      </c>
      <c r="J133" s="53"/>
      <c r="K133" s="53">
        <f>+K134</f>
        <v>24000</v>
      </c>
      <c r="L133" s="20">
        <f>+O133+Q133</f>
        <v>44000</v>
      </c>
      <c r="M133" s="53"/>
      <c r="N133" s="53"/>
      <c r="O133" s="53">
        <f>+O134</f>
        <v>20000</v>
      </c>
      <c r="P133" s="53"/>
      <c r="Q133" s="53">
        <f>+Q134</f>
        <v>24000</v>
      </c>
    </row>
    <row r="134" spans="1:17" s="1" customFormat="1" ht="19.5" customHeight="1" hidden="1">
      <c r="A134" s="147"/>
      <c r="B134" s="194"/>
      <c r="C134" s="191" t="s">
        <v>243</v>
      </c>
      <c r="D134" s="107">
        <v>424611</v>
      </c>
      <c r="E134" s="195" t="s">
        <v>244</v>
      </c>
      <c r="F134" s="19">
        <f>+I134+K134</f>
        <v>44000</v>
      </c>
      <c r="G134" s="37"/>
      <c r="H134" s="37"/>
      <c r="I134" s="37">
        <v>20000</v>
      </c>
      <c r="J134" s="37"/>
      <c r="K134" s="37">
        <v>24000</v>
      </c>
      <c r="L134" s="19">
        <f>+O134+Q134</f>
        <v>44000</v>
      </c>
      <c r="M134" s="37"/>
      <c r="N134" s="37"/>
      <c r="O134" s="37">
        <v>20000</v>
      </c>
      <c r="P134" s="37"/>
      <c r="Q134" s="37">
        <v>24000</v>
      </c>
    </row>
    <row r="135" spans="1:17" s="42" customFormat="1" ht="24.75" customHeight="1">
      <c r="A135" s="147"/>
      <c r="B135" s="196"/>
      <c r="C135" s="171" t="s">
        <v>99</v>
      </c>
      <c r="D135" s="197">
        <v>424900</v>
      </c>
      <c r="E135" s="198" t="s">
        <v>100</v>
      </c>
      <c r="F135" s="20">
        <f aca="true" t="shared" si="8" ref="F135:F141">SUM(G135:K135)</f>
        <v>1580000</v>
      </c>
      <c r="G135" s="53"/>
      <c r="H135" s="53"/>
      <c r="I135" s="53"/>
      <c r="J135" s="53"/>
      <c r="K135" s="53">
        <f>+K136</f>
        <v>1580000</v>
      </c>
      <c r="L135" s="20">
        <f aca="true" t="shared" si="9" ref="L135:L141">SUM(M135:Q135)</f>
        <v>1580000</v>
      </c>
      <c r="M135" s="53"/>
      <c r="N135" s="53"/>
      <c r="O135" s="53"/>
      <c r="P135" s="53"/>
      <c r="Q135" s="53">
        <f>+Q136</f>
        <v>1580000</v>
      </c>
    </row>
    <row r="136" spans="1:17" s="51" customFormat="1" ht="28.5" customHeight="1" hidden="1">
      <c r="A136" s="199"/>
      <c r="B136" s="85"/>
      <c r="C136" s="200" t="s">
        <v>245</v>
      </c>
      <c r="D136" s="201">
        <v>424911</v>
      </c>
      <c r="E136" s="202" t="s">
        <v>246</v>
      </c>
      <c r="F136" s="19">
        <f t="shared" si="8"/>
        <v>1580000</v>
      </c>
      <c r="G136" s="37"/>
      <c r="H136" s="37"/>
      <c r="I136" s="37"/>
      <c r="J136" s="37"/>
      <c r="K136" s="37">
        <v>1580000</v>
      </c>
      <c r="L136" s="19">
        <f t="shared" si="9"/>
        <v>1580000</v>
      </c>
      <c r="M136" s="37"/>
      <c r="N136" s="37"/>
      <c r="O136" s="37"/>
      <c r="P136" s="37"/>
      <c r="Q136" s="37">
        <v>1580000</v>
      </c>
    </row>
    <row r="137" spans="1:17" s="1" customFormat="1" ht="23.25" customHeight="1">
      <c r="A137" s="118">
        <v>5</v>
      </c>
      <c r="B137" s="166">
        <v>425000</v>
      </c>
      <c r="C137" s="152"/>
      <c r="D137" s="267" t="s">
        <v>101</v>
      </c>
      <c r="E137" s="265"/>
      <c r="F137" s="20">
        <f t="shared" si="8"/>
        <v>14863448</v>
      </c>
      <c r="G137" s="38"/>
      <c r="H137" s="20"/>
      <c r="I137" s="20">
        <f>I138+I148</f>
        <v>14367448</v>
      </c>
      <c r="J137" s="20"/>
      <c r="K137" s="20">
        <f>K138+K148</f>
        <v>496000</v>
      </c>
      <c r="L137" s="20">
        <f t="shared" si="9"/>
        <v>14863448</v>
      </c>
      <c r="M137" s="38"/>
      <c r="N137" s="20"/>
      <c r="O137" s="20">
        <f>O138+O148</f>
        <v>14367448</v>
      </c>
      <c r="P137" s="20"/>
      <c r="Q137" s="20">
        <f>Q138+Q148</f>
        <v>496000</v>
      </c>
    </row>
    <row r="138" spans="1:17" s="3" customFormat="1" ht="24.75" customHeight="1">
      <c r="A138" s="121"/>
      <c r="B138" s="203"/>
      <c r="C138" s="204" t="s">
        <v>102</v>
      </c>
      <c r="D138" s="101">
        <v>425100</v>
      </c>
      <c r="E138" s="169" t="s">
        <v>103</v>
      </c>
      <c r="F138" s="20">
        <f t="shared" si="8"/>
        <v>525000</v>
      </c>
      <c r="G138" s="53"/>
      <c r="H138" s="53"/>
      <c r="I138" s="53">
        <f>+I139+I140+I141+I142+I143+I144+I145+I147+I146</f>
        <v>525000</v>
      </c>
      <c r="J138" s="53"/>
      <c r="K138" s="53"/>
      <c r="L138" s="20">
        <f t="shared" si="9"/>
        <v>525000</v>
      </c>
      <c r="M138" s="53"/>
      <c r="N138" s="53"/>
      <c r="O138" s="53">
        <f>+O139+O140+O141+O142+O143+O144+O145+O147+O146</f>
        <v>525000</v>
      </c>
      <c r="P138" s="53"/>
      <c r="Q138" s="53"/>
    </row>
    <row r="139" spans="1:17" s="3" customFormat="1" ht="19.5" customHeight="1" hidden="1">
      <c r="A139" s="181"/>
      <c r="B139" s="268"/>
      <c r="C139" s="184" t="s">
        <v>247</v>
      </c>
      <c r="D139" s="99">
        <v>425111</v>
      </c>
      <c r="E139" s="100" t="s">
        <v>248</v>
      </c>
      <c r="F139" s="19">
        <f t="shared" si="8"/>
        <v>25000</v>
      </c>
      <c r="G139" s="53"/>
      <c r="H139" s="37"/>
      <c r="I139" s="37">
        <v>25000</v>
      </c>
      <c r="J139" s="37"/>
      <c r="K139" s="41"/>
      <c r="L139" s="19">
        <f t="shared" si="9"/>
        <v>25000</v>
      </c>
      <c r="M139" s="53"/>
      <c r="N139" s="37"/>
      <c r="O139" s="37">
        <v>25000</v>
      </c>
      <c r="P139" s="37"/>
      <c r="Q139" s="41"/>
    </row>
    <row r="140" spans="1:17" s="3" customFormat="1" ht="19.5" customHeight="1" hidden="1">
      <c r="A140" s="181"/>
      <c r="B140" s="268"/>
      <c r="C140" s="184" t="s">
        <v>249</v>
      </c>
      <c r="D140" s="99">
        <v>425112</v>
      </c>
      <c r="E140" s="100" t="s">
        <v>250</v>
      </c>
      <c r="F140" s="19">
        <f t="shared" si="8"/>
        <v>25000</v>
      </c>
      <c r="G140" s="37"/>
      <c r="H140" s="37"/>
      <c r="I140" s="37">
        <v>25000</v>
      </c>
      <c r="J140" s="37"/>
      <c r="K140" s="41"/>
      <c r="L140" s="19">
        <f t="shared" si="9"/>
        <v>25000</v>
      </c>
      <c r="M140" s="37"/>
      <c r="N140" s="37"/>
      <c r="O140" s="37">
        <v>25000</v>
      </c>
      <c r="P140" s="37"/>
      <c r="Q140" s="41"/>
    </row>
    <row r="141" spans="1:17" s="3" customFormat="1" ht="19.5" customHeight="1" hidden="1">
      <c r="A141" s="181"/>
      <c r="B141" s="268"/>
      <c r="C141" s="184" t="s">
        <v>251</v>
      </c>
      <c r="D141" s="99">
        <v>425113</v>
      </c>
      <c r="E141" s="100" t="s">
        <v>252</v>
      </c>
      <c r="F141" s="19">
        <f t="shared" si="8"/>
        <v>25000</v>
      </c>
      <c r="G141" s="37"/>
      <c r="H141" s="37"/>
      <c r="I141" s="37">
        <v>25000</v>
      </c>
      <c r="J141" s="37"/>
      <c r="K141" s="41"/>
      <c r="L141" s="19">
        <f t="shared" si="9"/>
        <v>25000</v>
      </c>
      <c r="M141" s="37"/>
      <c r="N141" s="37"/>
      <c r="O141" s="37">
        <v>25000</v>
      </c>
      <c r="P141" s="37"/>
      <c r="Q141" s="41"/>
    </row>
    <row r="142" spans="1:17" s="3" customFormat="1" ht="19.5" customHeight="1" hidden="1">
      <c r="A142" s="181"/>
      <c r="B142" s="268"/>
      <c r="C142" s="184" t="s">
        <v>253</v>
      </c>
      <c r="D142" s="99">
        <v>425114</v>
      </c>
      <c r="E142" s="100" t="s">
        <v>254</v>
      </c>
      <c r="F142" s="19">
        <f>+I142</f>
        <v>25000</v>
      </c>
      <c r="G142" s="37"/>
      <c r="H142" s="37"/>
      <c r="I142" s="37">
        <v>25000</v>
      </c>
      <c r="J142" s="37"/>
      <c r="K142" s="41"/>
      <c r="L142" s="19">
        <f>+O142</f>
        <v>25000</v>
      </c>
      <c r="M142" s="37"/>
      <c r="N142" s="37"/>
      <c r="O142" s="37">
        <v>25000</v>
      </c>
      <c r="P142" s="37"/>
      <c r="Q142" s="41"/>
    </row>
    <row r="143" spans="1:17" s="3" customFormat="1" ht="19.5" customHeight="1" hidden="1">
      <c r="A143" s="181"/>
      <c r="B143" s="268"/>
      <c r="C143" s="184" t="s">
        <v>255</v>
      </c>
      <c r="D143" s="99">
        <v>425115</v>
      </c>
      <c r="E143" s="100" t="s">
        <v>256</v>
      </c>
      <c r="F143" s="19">
        <f aca="true" t="shared" si="10" ref="F143:F179">SUM(G143:K143)</f>
        <v>40000</v>
      </c>
      <c r="G143" s="37"/>
      <c r="H143" s="37"/>
      <c r="I143" s="37">
        <v>40000</v>
      </c>
      <c r="J143" s="37"/>
      <c r="K143" s="41"/>
      <c r="L143" s="19">
        <f aca="true" t="shared" si="11" ref="L143:L179">SUM(M143:Q143)</f>
        <v>40000</v>
      </c>
      <c r="M143" s="37"/>
      <c r="N143" s="37"/>
      <c r="O143" s="37">
        <v>40000</v>
      </c>
      <c r="P143" s="37"/>
      <c r="Q143" s="41"/>
    </row>
    <row r="144" spans="1:17" s="3" customFormat="1" ht="19.5" customHeight="1" hidden="1">
      <c r="A144" s="181"/>
      <c r="B144" s="268"/>
      <c r="C144" s="184" t="s">
        <v>257</v>
      </c>
      <c r="D144" s="99">
        <v>425116</v>
      </c>
      <c r="E144" s="100" t="s">
        <v>174</v>
      </c>
      <c r="F144" s="19">
        <f t="shared" si="10"/>
        <v>55000</v>
      </c>
      <c r="G144" s="37"/>
      <c r="H144" s="37"/>
      <c r="I144" s="37">
        <v>55000</v>
      </c>
      <c r="J144" s="37"/>
      <c r="K144" s="41"/>
      <c r="L144" s="19">
        <f t="shared" si="11"/>
        <v>55000</v>
      </c>
      <c r="M144" s="37"/>
      <c r="N144" s="37"/>
      <c r="O144" s="37">
        <v>55000</v>
      </c>
      <c r="P144" s="37"/>
      <c r="Q144" s="41"/>
    </row>
    <row r="145" spans="1:17" s="3" customFormat="1" ht="19.5" customHeight="1" hidden="1">
      <c r="A145" s="181"/>
      <c r="B145" s="268"/>
      <c r="C145" s="184" t="s">
        <v>258</v>
      </c>
      <c r="D145" s="99">
        <v>425117</v>
      </c>
      <c r="E145" s="100" t="s">
        <v>259</v>
      </c>
      <c r="F145" s="19">
        <f t="shared" si="10"/>
        <v>200000</v>
      </c>
      <c r="G145" s="37"/>
      <c r="H145" s="37"/>
      <c r="I145" s="37">
        <v>200000</v>
      </c>
      <c r="J145" s="37"/>
      <c r="K145" s="41"/>
      <c r="L145" s="19">
        <f t="shared" si="11"/>
        <v>200000</v>
      </c>
      <c r="M145" s="37"/>
      <c r="N145" s="37"/>
      <c r="O145" s="37">
        <v>200000</v>
      </c>
      <c r="P145" s="37"/>
      <c r="Q145" s="41"/>
    </row>
    <row r="146" spans="1:17" s="3" customFormat="1" ht="24" customHeight="1" hidden="1">
      <c r="A146" s="181"/>
      <c r="B146" s="268"/>
      <c r="C146" s="184" t="s">
        <v>260</v>
      </c>
      <c r="D146" s="99">
        <v>425118</v>
      </c>
      <c r="E146" s="100" t="s">
        <v>261</v>
      </c>
      <c r="F146" s="19">
        <f t="shared" si="10"/>
        <v>50000</v>
      </c>
      <c r="G146" s="37"/>
      <c r="H146" s="37"/>
      <c r="I146" s="37">
        <v>50000</v>
      </c>
      <c r="J146" s="37"/>
      <c r="K146" s="41"/>
      <c r="L146" s="19">
        <f t="shared" si="11"/>
        <v>50000</v>
      </c>
      <c r="M146" s="37"/>
      <c r="N146" s="37"/>
      <c r="O146" s="37">
        <v>50000</v>
      </c>
      <c r="P146" s="37"/>
      <c r="Q146" s="41"/>
    </row>
    <row r="147" spans="1:17" s="3" customFormat="1" ht="26.25" customHeight="1" hidden="1">
      <c r="A147" s="181"/>
      <c r="B147" s="268"/>
      <c r="C147" s="184" t="s">
        <v>262</v>
      </c>
      <c r="D147" s="99">
        <v>425119</v>
      </c>
      <c r="E147" s="100" t="s">
        <v>263</v>
      </c>
      <c r="F147" s="19">
        <f t="shared" si="10"/>
        <v>80000</v>
      </c>
      <c r="G147" s="37"/>
      <c r="H147" s="37"/>
      <c r="I147" s="37">
        <v>80000</v>
      </c>
      <c r="J147" s="37"/>
      <c r="K147" s="41"/>
      <c r="L147" s="19">
        <f t="shared" si="11"/>
        <v>80000</v>
      </c>
      <c r="M147" s="37"/>
      <c r="N147" s="37"/>
      <c r="O147" s="37">
        <v>80000</v>
      </c>
      <c r="P147" s="37"/>
      <c r="Q147" s="41"/>
    </row>
    <row r="148" spans="1:17" s="3" customFormat="1" ht="24.75" customHeight="1">
      <c r="A148" s="181"/>
      <c r="B148" s="203"/>
      <c r="C148" s="182" t="s">
        <v>104</v>
      </c>
      <c r="D148" s="101">
        <v>425200</v>
      </c>
      <c r="E148" s="169" t="s">
        <v>432</v>
      </c>
      <c r="F148" s="20">
        <f t="shared" si="10"/>
        <v>14338448</v>
      </c>
      <c r="G148" s="53"/>
      <c r="H148" s="53"/>
      <c r="I148" s="53">
        <f>+I149+I152+I159</f>
        <v>13842448</v>
      </c>
      <c r="J148" s="53"/>
      <c r="K148" s="53">
        <f>+K149+K152+K159</f>
        <v>496000</v>
      </c>
      <c r="L148" s="20">
        <f t="shared" si="11"/>
        <v>14338448</v>
      </c>
      <c r="M148" s="53"/>
      <c r="N148" s="53"/>
      <c r="O148" s="53">
        <f>+O149+O152+O159</f>
        <v>13842448</v>
      </c>
      <c r="P148" s="53"/>
      <c r="Q148" s="53">
        <f>+Q149+Q152+Q159</f>
        <v>496000</v>
      </c>
    </row>
    <row r="149" spans="1:17" s="3" customFormat="1" ht="24.75" customHeight="1" hidden="1">
      <c r="A149" s="181"/>
      <c r="B149" s="205"/>
      <c r="C149" s="182" t="s">
        <v>264</v>
      </c>
      <c r="D149" s="101">
        <v>425210</v>
      </c>
      <c r="E149" s="169" t="s">
        <v>265</v>
      </c>
      <c r="F149" s="20">
        <f t="shared" si="10"/>
        <v>12088448</v>
      </c>
      <c r="G149" s="53"/>
      <c r="H149" s="53"/>
      <c r="I149" s="53">
        <f>+I150+I151</f>
        <v>11678448</v>
      </c>
      <c r="J149" s="53"/>
      <c r="K149" s="53">
        <f>+K150+K151</f>
        <v>410000</v>
      </c>
      <c r="L149" s="20">
        <f t="shared" si="11"/>
        <v>12088448</v>
      </c>
      <c r="M149" s="53"/>
      <c r="N149" s="53"/>
      <c r="O149" s="53">
        <f>+O150+O151</f>
        <v>11678448</v>
      </c>
      <c r="P149" s="53"/>
      <c r="Q149" s="53">
        <f>+Q150+Q151</f>
        <v>410000</v>
      </c>
    </row>
    <row r="150" spans="1:17" s="3" customFormat="1" ht="19.5" customHeight="1" hidden="1">
      <c r="A150" s="147"/>
      <c r="B150" s="206"/>
      <c r="C150" s="172" t="s">
        <v>266</v>
      </c>
      <c r="D150" s="99">
        <v>42521101</v>
      </c>
      <c r="E150" s="100" t="s">
        <v>267</v>
      </c>
      <c r="F150" s="19">
        <f t="shared" si="10"/>
        <v>11963448</v>
      </c>
      <c r="G150" s="37"/>
      <c r="H150" s="37"/>
      <c r="I150" s="37">
        <f>12000000-1303000-110000-510000-3552-110000+1590000</f>
        <v>11553448</v>
      </c>
      <c r="J150" s="37"/>
      <c r="K150" s="37">
        <v>410000</v>
      </c>
      <c r="L150" s="19">
        <f t="shared" si="11"/>
        <v>11963448</v>
      </c>
      <c r="M150" s="37"/>
      <c r="N150" s="37"/>
      <c r="O150" s="37">
        <f>12000000-1303000-110000-510000-3552-110000+1590000</f>
        <v>11553448</v>
      </c>
      <c r="P150" s="37"/>
      <c r="Q150" s="37">
        <v>410000</v>
      </c>
    </row>
    <row r="151" spans="1:17" s="3" customFormat="1" ht="19.5" customHeight="1" hidden="1">
      <c r="A151" s="147"/>
      <c r="B151" s="206"/>
      <c r="C151" s="172" t="s">
        <v>268</v>
      </c>
      <c r="D151" s="99">
        <v>42521102</v>
      </c>
      <c r="E151" s="145" t="s">
        <v>269</v>
      </c>
      <c r="F151" s="19">
        <f t="shared" si="10"/>
        <v>125000</v>
      </c>
      <c r="G151" s="54"/>
      <c r="H151" s="54"/>
      <c r="I151" s="54">
        <v>125000</v>
      </c>
      <c r="J151" s="54"/>
      <c r="K151" s="37"/>
      <c r="L151" s="19">
        <f t="shared" si="11"/>
        <v>125000</v>
      </c>
      <c r="M151" s="54"/>
      <c r="N151" s="54"/>
      <c r="O151" s="54">
        <v>125000</v>
      </c>
      <c r="P151" s="54"/>
      <c r="Q151" s="37"/>
    </row>
    <row r="152" spans="1:17" s="3" customFormat="1" ht="24.75" customHeight="1" hidden="1">
      <c r="A152" s="181"/>
      <c r="B152" s="207"/>
      <c r="C152" s="182" t="s">
        <v>270</v>
      </c>
      <c r="D152" s="102">
        <v>425220</v>
      </c>
      <c r="E152" s="169" t="s">
        <v>271</v>
      </c>
      <c r="F152" s="20">
        <f t="shared" si="10"/>
        <v>441000</v>
      </c>
      <c r="G152" s="53"/>
      <c r="H152" s="53"/>
      <c r="I152" s="53">
        <f>+I153+I154+I155+I156+I157+I158</f>
        <v>355000</v>
      </c>
      <c r="J152" s="53"/>
      <c r="K152" s="53">
        <f>+K153+K154+K155+K156+K157+K158</f>
        <v>86000</v>
      </c>
      <c r="L152" s="20">
        <f t="shared" si="11"/>
        <v>441000</v>
      </c>
      <c r="M152" s="53"/>
      <c r="N152" s="53"/>
      <c r="O152" s="53">
        <f>+O153+O154+O155+O156+O157+O158</f>
        <v>355000</v>
      </c>
      <c r="P152" s="53"/>
      <c r="Q152" s="53">
        <f>+Q153+Q154+Q155+Q156+Q157+Q158</f>
        <v>86000</v>
      </c>
    </row>
    <row r="153" spans="1:17" s="3" customFormat="1" ht="19.5" customHeight="1" hidden="1">
      <c r="A153" s="147"/>
      <c r="B153" s="208"/>
      <c r="C153" s="172" t="s">
        <v>272</v>
      </c>
      <c r="D153" s="99">
        <v>425221</v>
      </c>
      <c r="E153" s="100" t="s">
        <v>273</v>
      </c>
      <c r="F153" s="19">
        <f t="shared" si="10"/>
        <v>50000</v>
      </c>
      <c r="G153" s="53"/>
      <c r="H153" s="53"/>
      <c r="I153" s="37">
        <f>150000-100000</f>
        <v>50000</v>
      </c>
      <c r="J153" s="37"/>
      <c r="K153" s="37"/>
      <c r="L153" s="19">
        <f t="shared" si="11"/>
        <v>50000</v>
      </c>
      <c r="M153" s="53"/>
      <c r="N153" s="53"/>
      <c r="O153" s="37">
        <f>150000-100000</f>
        <v>50000</v>
      </c>
      <c r="P153" s="37"/>
      <c r="Q153" s="37"/>
    </row>
    <row r="154" spans="1:17" s="3" customFormat="1" ht="19.5" customHeight="1" hidden="1">
      <c r="A154" s="147"/>
      <c r="B154" s="206"/>
      <c r="C154" s="172" t="s">
        <v>274</v>
      </c>
      <c r="D154" s="99">
        <v>425222</v>
      </c>
      <c r="E154" s="100" t="s">
        <v>275</v>
      </c>
      <c r="F154" s="19">
        <f t="shared" si="10"/>
        <v>65000</v>
      </c>
      <c r="G154" s="53"/>
      <c r="H154" s="53"/>
      <c r="I154" s="37">
        <v>65000</v>
      </c>
      <c r="J154" s="37"/>
      <c r="K154" s="37"/>
      <c r="L154" s="19">
        <f t="shared" si="11"/>
        <v>65000</v>
      </c>
      <c r="M154" s="53"/>
      <c r="N154" s="53"/>
      <c r="O154" s="37">
        <v>65000</v>
      </c>
      <c r="P154" s="37"/>
      <c r="Q154" s="37"/>
    </row>
    <row r="155" spans="1:17" s="3" customFormat="1" ht="19.5" customHeight="1" hidden="1">
      <c r="A155" s="147"/>
      <c r="B155" s="206"/>
      <c r="C155" s="172" t="s">
        <v>276</v>
      </c>
      <c r="D155" s="99">
        <v>425223</v>
      </c>
      <c r="E155" s="100" t="s">
        <v>277</v>
      </c>
      <c r="F155" s="19">
        <f t="shared" si="10"/>
        <v>20000</v>
      </c>
      <c r="G155" s="53"/>
      <c r="H155" s="53"/>
      <c r="I155" s="37">
        <v>20000</v>
      </c>
      <c r="J155" s="37"/>
      <c r="K155" s="37"/>
      <c r="L155" s="19">
        <f t="shared" si="11"/>
        <v>20000</v>
      </c>
      <c r="M155" s="53"/>
      <c r="N155" s="53"/>
      <c r="O155" s="37">
        <v>20000</v>
      </c>
      <c r="P155" s="37"/>
      <c r="Q155" s="37"/>
    </row>
    <row r="156" spans="1:17" s="3" customFormat="1" ht="19.5" customHeight="1" hidden="1">
      <c r="A156" s="147"/>
      <c r="B156" s="206"/>
      <c r="C156" s="172" t="s">
        <v>278</v>
      </c>
      <c r="D156" s="99">
        <v>425224</v>
      </c>
      <c r="E156" s="100" t="s">
        <v>279</v>
      </c>
      <c r="F156" s="19">
        <f t="shared" si="10"/>
        <v>106000</v>
      </c>
      <c r="G156" s="53"/>
      <c r="H156" s="53"/>
      <c r="I156" s="37">
        <v>50000</v>
      </c>
      <c r="J156" s="37"/>
      <c r="K156" s="37">
        <v>56000</v>
      </c>
      <c r="L156" s="19">
        <f t="shared" si="11"/>
        <v>106000</v>
      </c>
      <c r="M156" s="53"/>
      <c r="N156" s="53"/>
      <c r="O156" s="37">
        <v>50000</v>
      </c>
      <c r="P156" s="37"/>
      <c r="Q156" s="37">
        <v>56000</v>
      </c>
    </row>
    <row r="157" spans="1:17" s="3" customFormat="1" ht="28.5" customHeight="1" hidden="1">
      <c r="A157" s="147"/>
      <c r="B157" s="206"/>
      <c r="C157" s="172" t="s">
        <v>280</v>
      </c>
      <c r="D157" s="99">
        <v>425225</v>
      </c>
      <c r="E157" s="100" t="s">
        <v>281</v>
      </c>
      <c r="F157" s="19">
        <f t="shared" si="10"/>
        <v>90000</v>
      </c>
      <c r="G157" s="53"/>
      <c r="H157" s="53"/>
      <c r="I157" s="37">
        <v>90000</v>
      </c>
      <c r="J157" s="37"/>
      <c r="K157" s="37"/>
      <c r="L157" s="19">
        <f t="shared" si="11"/>
        <v>90000</v>
      </c>
      <c r="M157" s="53"/>
      <c r="N157" s="53"/>
      <c r="O157" s="37">
        <v>90000</v>
      </c>
      <c r="P157" s="37"/>
      <c r="Q157" s="37"/>
    </row>
    <row r="158" spans="1:17" s="3" customFormat="1" ht="19.5" customHeight="1" hidden="1">
      <c r="A158" s="147"/>
      <c r="B158" s="206"/>
      <c r="C158" s="172" t="s">
        <v>282</v>
      </c>
      <c r="D158" s="99">
        <v>425227</v>
      </c>
      <c r="E158" s="100" t="s">
        <v>283</v>
      </c>
      <c r="F158" s="19">
        <f t="shared" si="10"/>
        <v>110000</v>
      </c>
      <c r="G158" s="53"/>
      <c r="H158" s="53"/>
      <c r="I158" s="37">
        <v>80000</v>
      </c>
      <c r="J158" s="37"/>
      <c r="K158" s="37">
        <v>30000</v>
      </c>
      <c r="L158" s="19">
        <f t="shared" si="11"/>
        <v>110000</v>
      </c>
      <c r="M158" s="53"/>
      <c r="N158" s="53"/>
      <c r="O158" s="37">
        <v>80000</v>
      </c>
      <c r="P158" s="37"/>
      <c r="Q158" s="37">
        <v>30000</v>
      </c>
    </row>
    <row r="159" spans="1:17" s="3" customFormat="1" ht="24" customHeight="1" hidden="1">
      <c r="A159" s="181"/>
      <c r="B159" s="205"/>
      <c r="C159" s="182" t="s">
        <v>284</v>
      </c>
      <c r="D159" s="101">
        <v>425250</v>
      </c>
      <c r="E159" s="169" t="s">
        <v>285</v>
      </c>
      <c r="F159" s="20">
        <f t="shared" si="10"/>
        <v>1809000</v>
      </c>
      <c r="G159" s="53"/>
      <c r="H159" s="53"/>
      <c r="I159" s="53">
        <f>+I160+I161+I162+I163+I164</f>
        <v>1809000</v>
      </c>
      <c r="J159" s="53"/>
      <c r="K159" s="53"/>
      <c r="L159" s="20">
        <f t="shared" si="11"/>
        <v>1809000</v>
      </c>
      <c r="M159" s="53"/>
      <c r="N159" s="53"/>
      <c r="O159" s="53">
        <f>+O160+O161+O162+O163+O164</f>
        <v>1809000</v>
      </c>
      <c r="P159" s="53"/>
      <c r="Q159" s="53"/>
    </row>
    <row r="160" spans="1:17" s="3" customFormat="1" ht="25.5" customHeight="1" hidden="1">
      <c r="A160" s="147"/>
      <c r="B160" s="208"/>
      <c r="C160" s="172" t="s">
        <v>286</v>
      </c>
      <c r="D160" s="99">
        <v>425251</v>
      </c>
      <c r="E160" s="100" t="s">
        <v>285</v>
      </c>
      <c r="F160" s="19">
        <f t="shared" si="10"/>
        <v>700000</v>
      </c>
      <c r="G160" s="53"/>
      <c r="H160" s="37"/>
      <c r="I160" s="37">
        <f>900000-200000</f>
        <v>700000</v>
      </c>
      <c r="J160" s="37"/>
      <c r="K160" s="53"/>
      <c r="L160" s="19">
        <f t="shared" si="11"/>
        <v>700000</v>
      </c>
      <c r="M160" s="53"/>
      <c r="N160" s="37"/>
      <c r="O160" s="37">
        <f>900000-200000</f>
        <v>700000</v>
      </c>
      <c r="P160" s="37"/>
      <c r="Q160" s="53"/>
    </row>
    <row r="161" spans="1:17" s="3" customFormat="1" ht="27" customHeight="1" hidden="1">
      <c r="A161" s="147"/>
      <c r="B161" s="194"/>
      <c r="C161" s="172" t="s">
        <v>287</v>
      </c>
      <c r="D161" s="99">
        <v>42525104</v>
      </c>
      <c r="E161" s="100" t="s">
        <v>288</v>
      </c>
      <c r="F161" s="19">
        <f t="shared" si="10"/>
        <v>1000000</v>
      </c>
      <c r="G161" s="37"/>
      <c r="H161" s="37"/>
      <c r="I161" s="37">
        <f>1400000-400000</f>
        <v>1000000</v>
      </c>
      <c r="J161" s="37"/>
      <c r="K161" s="37"/>
      <c r="L161" s="19">
        <f t="shared" si="11"/>
        <v>1000000</v>
      </c>
      <c r="M161" s="37"/>
      <c r="N161" s="37"/>
      <c r="O161" s="37">
        <f>1400000-400000</f>
        <v>1000000</v>
      </c>
      <c r="P161" s="37"/>
      <c r="Q161" s="37"/>
    </row>
    <row r="162" spans="1:17" s="3" customFormat="1" ht="39" customHeight="1" hidden="1">
      <c r="A162" s="147"/>
      <c r="B162" s="206"/>
      <c r="C162" s="172" t="s">
        <v>289</v>
      </c>
      <c r="D162" s="99">
        <v>425252</v>
      </c>
      <c r="E162" s="169" t="s">
        <v>290</v>
      </c>
      <c r="F162" s="19">
        <f t="shared" si="10"/>
        <v>50000</v>
      </c>
      <c r="G162" s="37"/>
      <c r="H162" s="37"/>
      <c r="I162" s="37">
        <v>50000</v>
      </c>
      <c r="J162" s="37"/>
      <c r="K162" s="37"/>
      <c r="L162" s="19">
        <f t="shared" si="11"/>
        <v>50000</v>
      </c>
      <c r="M162" s="37"/>
      <c r="N162" s="37"/>
      <c r="O162" s="37">
        <v>50000</v>
      </c>
      <c r="P162" s="37"/>
      <c r="Q162" s="37"/>
    </row>
    <row r="163" spans="1:17" s="3" customFormat="1" ht="33.75" customHeight="1" hidden="1">
      <c r="A163" s="147"/>
      <c r="B163" s="209"/>
      <c r="C163" s="172" t="s">
        <v>291</v>
      </c>
      <c r="D163" s="99">
        <v>425253</v>
      </c>
      <c r="E163" s="198" t="s">
        <v>292</v>
      </c>
      <c r="F163" s="19">
        <f t="shared" si="10"/>
        <v>55000</v>
      </c>
      <c r="G163" s="37"/>
      <c r="H163" s="37"/>
      <c r="I163" s="37">
        <v>55000</v>
      </c>
      <c r="J163" s="37"/>
      <c r="K163" s="37"/>
      <c r="L163" s="19">
        <f t="shared" si="11"/>
        <v>55000</v>
      </c>
      <c r="M163" s="37"/>
      <c r="N163" s="37"/>
      <c r="O163" s="37">
        <v>55000</v>
      </c>
      <c r="P163" s="37"/>
      <c r="Q163" s="37"/>
    </row>
    <row r="164" spans="1:17" s="3" customFormat="1" ht="24" customHeight="1" hidden="1">
      <c r="A164" s="147"/>
      <c r="B164" s="209"/>
      <c r="C164" s="172" t="s">
        <v>293</v>
      </c>
      <c r="D164" s="99">
        <v>425281</v>
      </c>
      <c r="E164" s="198" t="s">
        <v>294</v>
      </c>
      <c r="F164" s="19">
        <f t="shared" si="10"/>
        <v>4000</v>
      </c>
      <c r="G164" s="37"/>
      <c r="H164" s="37"/>
      <c r="I164" s="37">
        <v>4000</v>
      </c>
      <c r="J164" s="37"/>
      <c r="K164" s="37"/>
      <c r="L164" s="19">
        <f t="shared" si="11"/>
        <v>4000</v>
      </c>
      <c r="M164" s="37"/>
      <c r="N164" s="37"/>
      <c r="O164" s="37">
        <v>4000</v>
      </c>
      <c r="P164" s="37"/>
      <c r="Q164" s="37"/>
    </row>
    <row r="165" spans="1:17" s="3" customFormat="1" ht="24" customHeight="1">
      <c r="A165" s="131">
        <v>6</v>
      </c>
      <c r="B165" s="101">
        <v>426000</v>
      </c>
      <c r="C165" s="99"/>
      <c r="D165" s="259" t="s">
        <v>105</v>
      </c>
      <c r="E165" s="259"/>
      <c r="F165" s="20">
        <f t="shared" si="10"/>
        <v>68560558.39</v>
      </c>
      <c r="G165" s="38"/>
      <c r="H165" s="38">
        <f>+H166+H173+H174+H182+H194+H200</f>
        <v>1000000</v>
      </c>
      <c r="I165" s="20">
        <f>+I166+I172+I174+I182+I194+I200+I180</f>
        <v>66180558.39</v>
      </c>
      <c r="J165" s="20"/>
      <c r="K165" s="20">
        <f>+K166+K173+K174+K182+K194+K200+K180</f>
        <v>1380000</v>
      </c>
      <c r="L165" s="20">
        <f t="shared" si="11"/>
        <v>68560558.39</v>
      </c>
      <c r="M165" s="38"/>
      <c r="N165" s="38">
        <f>+N166+N173+N174+N182+N194+N200</f>
        <v>1000000</v>
      </c>
      <c r="O165" s="20">
        <f>+O166+O172+O174+O182+O194+O200+O180</f>
        <v>66180558.39</v>
      </c>
      <c r="P165" s="20"/>
      <c r="Q165" s="20">
        <f>+Q166+Q173+Q174+Q182+Q194+Q200+Q180</f>
        <v>1380000</v>
      </c>
    </row>
    <row r="166" spans="1:17" s="3" customFormat="1" ht="24.75" customHeight="1">
      <c r="A166" s="121"/>
      <c r="B166" s="134"/>
      <c r="C166" s="182" t="s">
        <v>106</v>
      </c>
      <c r="D166" s="101">
        <v>426100</v>
      </c>
      <c r="E166" s="169" t="s">
        <v>433</v>
      </c>
      <c r="F166" s="20">
        <f t="shared" si="10"/>
        <v>2565000</v>
      </c>
      <c r="G166" s="53"/>
      <c r="H166" s="53">
        <f>+H167+H168+H169+H170</f>
        <v>1000000</v>
      </c>
      <c r="I166" s="53">
        <f>+I167+I168+I169</f>
        <v>1515000</v>
      </c>
      <c r="J166" s="53"/>
      <c r="K166" s="53">
        <f>+K167+K168+K169+K171</f>
        <v>50000</v>
      </c>
      <c r="L166" s="20">
        <f t="shared" si="11"/>
        <v>2565000</v>
      </c>
      <c r="M166" s="53"/>
      <c r="N166" s="53">
        <f>+N167+N168+N169+N170</f>
        <v>1000000</v>
      </c>
      <c r="O166" s="53">
        <f>+O167+O168+O169</f>
        <v>1515000</v>
      </c>
      <c r="P166" s="53"/>
      <c r="Q166" s="53">
        <f>+Q167+Q168+Q169+Q171</f>
        <v>50000</v>
      </c>
    </row>
    <row r="167" spans="1:17" s="3" customFormat="1" ht="19.5" customHeight="1" hidden="1">
      <c r="A167" s="147"/>
      <c r="B167" s="208"/>
      <c r="C167" s="172" t="s">
        <v>295</v>
      </c>
      <c r="D167" s="99">
        <v>426111</v>
      </c>
      <c r="E167" s="100" t="s">
        <v>296</v>
      </c>
      <c r="F167" s="19">
        <f t="shared" si="10"/>
        <v>560000</v>
      </c>
      <c r="G167" s="37"/>
      <c r="H167" s="37"/>
      <c r="I167" s="37">
        <f>550000+100000-90000</f>
        <v>560000</v>
      </c>
      <c r="J167" s="37"/>
      <c r="K167" s="37"/>
      <c r="L167" s="19">
        <f t="shared" si="11"/>
        <v>560000</v>
      </c>
      <c r="M167" s="37"/>
      <c r="N167" s="37"/>
      <c r="O167" s="37">
        <f>550000+100000-90000</f>
        <v>560000</v>
      </c>
      <c r="P167" s="37"/>
      <c r="Q167" s="37"/>
    </row>
    <row r="168" spans="1:17" s="3" customFormat="1" ht="19.5" customHeight="1" hidden="1">
      <c r="A168" s="147"/>
      <c r="B168" s="206"/>
      <c r="C168" s="172" t="s">
        <v>297</v>
      </c>
      <c r="D168" s="99">
        <v>4261111</v>
      </c>
      <c r="E168" s="100" t="s">
        <v>298</v>
      </c>
      <c r="F168" s="19">
        <f t="shared" si="10"/>
        <v>605000</v>
      </c>
      <c r="G168" s="37"/>
      <c r="H168" s="37"/>
      <c r="I168" s="37">
        <f>550000+15000+100000-80000</f>
        <v>585000</v>
      </c>
      <c r="J168" s="37"/>
      <c r="K168" s="37">
        <v>20000</v>
      </c>
      <c r="L168" s="19">
        <f t="shared" si="11"/>
        <v>605000</v>
      </c>
      <c r="M168" s="37"/>
      <c r="N168" s="37"/>
      <c r="O168" s="37">
        <f>550000+15000+100000-80000</f>
        <v>585000</v>
      </c>
      <c r="P168" s="37"/>
      <c r="Q168" s="37">
        <v>20000</v>
      </c>
    </row>
    <row r="169" spans="1:17" s="3" customFormat="1" ht="26.25" customHeight="1" hidden="1">
      <c r="A169" s="147"/>
      <c r="B169" s="206"/>
      <c r="C169" s="172" t="s">
        <v>299</v>
      </c>
      <c r="D169" s="99">
        <v>4261112</v>
      </c>
      <c r="E169" s="100" t="s">
        <v>300</v>
      </c>
      <c r="F169" s="19">
        <f t="shared" si="10"/>
        <v>370000</v>
      </c>
      <c r="G169" s="37"/>
      <c r="H169" s="37"/>
      <c r="I169" s="37">
        <v>370000</v>
      </c>
      <c r="J169" s="37"/>
      <c r="K169" s="37"/>
      <c r="L169" s="19">
        <f t="shared" si="11"/>
        <v>370000</v>
      </c>
      <c r="M169" s="37"/>
      <c r="N169" s="37"/>
      <c r="O169" s="37">
        <v>370000</v>
      </c>
      <c r="P169" s="37"/>
      <c r="Q169" s="37"/>
    </row>
    <row r="170" spans="1:17" s="3" customFormat="1" ht="19.5" customHeight="1" hidden="1">
      <c r="A170" s="147"/>
      <c r="B170" s="206"/>
      <c r="C170" s="172" t="s">
        <v>301</v>
      </c>
      <c r="D170" s="99">
        <v>426123</v>
      </c>
      <c r="E170" s="100" t="s">
        <v>302</v>
      </c>
      <c r="F170" s="19">
        <f t="shared" si="10"/>
        <v>1000000</v>
      </c>
      <c r="G170" s="37"/>
      <c r="H170" s="37">
        <v>1000000</v>
      </c>
      <c r="I170" s="37"/>
      <c r="J170" s="37"/>
      <c r="K170" s="37"/>
      <c r="L170" s="19">
        <f t="shared" si="11"/>
        <v>1000000</v>
      </c>
      <c r="M170" s="37"/>
      <c r="N170" s="37">
        <v>1000000</v>
      </c>
      <c r="O170" s="37"/>
      <c r="P170" s="37"/>
      <c r="Q170" s="37"/>
    </row>
    <row r="171" spans="1:17" s="3" customFormat="1" ht="19.5" customHeight="1" hidden="1">
      <c r="A171" s="147"/>
      <c r="B171" s="206"/>
      <c r="C171" s="172" t="s">
        <v>303</v>
      </c>
      <c r="D171" s="99">
        <v>426131</v>
      </c>
      <c r="E171" s="100" t="s">
        <v>304</v>
      </c>
      <c r="F171" s="19">
        <f t="shared" si="10"/>
        <v>30000</v>
      </c>
      <c r="G171" s="37"/>
      <c r="H171" s="37"/>
      <c r="I171" s="53"/>
      <c r="J171" s="53"/>
      <c r="K171" s="37">
        <v>30000</v>
      </c>
      <c r="L171" s="19">
        <f t="shared" si="11"/>
        <v>30000</v>
      </c>
      <c r="M171" s="37"/>
      <c r="N171" s="37"/>
      <c r="O171" s="53"/>
      <c r="P171" s="53"/>
      <c r="Q171" s="37">
        <v>30000</v>
      </c>
    </row>
    <row r="172" spans="1:17" s="3" customFormat="1" ht="24.75" customHeight="1">
      <c r="A172" s="147"/>
      <c r="B172" s="182"/>
      <c r="C172" s="182" t="s">
        <v>107</v>
      </c>
      <c r="D172" s="101">
        <v>426300</v>
      </c>
      <c r="E172" s="169" t="s">
        <v>108</v>
      </c>
      <c r="F172" s="20">
        <f t="shared" si="10"/>
        <v>250000</v>
      </c>
      <c r="G172" s="53"/>
      <c r="H172" s="53"/>
      <c r="I172" s="53">
        <f>+I173</f>
        <v>70000</v>
      </c>
      <c r="J172" s="53"/>
      <c r="K172" s="53">
        <f>+K173</f>
        <v>180000</v>
      </c>
      <c r="L172" s="20">
        <f t="shared" si="11"/>
        <v>250000</v>
      </c>
      <c r="M172" s="53"/>
      <c r="N172" s="53"/>
      <c r="O172" s="53">
        <f>+O173</f>
        <v>70000</v>
      </c>
      <c r="P172" s="53"/>
      <c r="Q172" s="53">
        <f>+Q173</f>
        <v>180000</v>
      </c>
    </row>
    <row r="173" spans="1:17" s="3" customFormat="1" ht="24.75" customHeight="1" hidden="1">
      <c r="A173" s="181"/>
      <c r="B173" s="154"/>
      <c r="C173" s="184" t="s">
        <v>305</v>
      </c>
      <c r="D173" s="99">
        <v>426311</v>
      </c>
      <c r="E173" s="100" t="s">
        <v>306</v>
      </c>
      <c r="F173" s="19">
        <f t="shared" si="10"/>
        <v>250000</v>
      </c>
      <c r="G173" s="37"/>
      <c r="H173" s="37"/>
      <c r="I173" s="37">
        <v>70000</v>
      </c>
      <c r="J173" s="37"/>
      <c r="K173" s="37">
        <v>180000</v>
      </c>
      <c r="L173" s="19">
        <f t="shared" si="11"/>
        <v>250000</v>
      </c>
      <c r="M173" s="37"/>
      <c r="N173" s="37"/>
      <c r="O173" s="37">
        <v>70000</v>
      </c>
      <c r="P173" s="37"/>
      <c r="Q173" s="37">
        <v>180000</v>
      </c>
    </row>
    <row r="174" spans="1:17" s="3" customFormat="1" ht="24.75" customHeight="1">
      <c r="A174" s="181"/>
      <c r="B174" s="210"/>
      <c r="C174" s="182" t="s">
        <v>109</v>
      </c>
      <c r="D174" s="101">
        <v>426400</v>
      </c>
      <c r="E174" s="169" t="s">
        <v>434</v>
      </c>
      <c r="F174" s="20">
        <f t="shared" si="10"/>
        <v>11217000</v>
      </c>
      <c r="G174" s="53"/>
      <c r="H174" s="53"/>
      <c r="I174" s="53">
        <f>+I175+I176+I177+I178+I179</f>
        <v>11217000</v>
      </c>
      <c r="J174" s="53"/>
      <c r="K174" s="53"/>
      <c r="L174" s="20">
        <f t="shared" si="11"/>
        <v>11217000</v>
      </c>
      <c r="M174" s="53"/>
      <c r="N174" s="53"/>
      <c r="O174" s="53">
        <f>+O175+O176+O177+O178+O179</f>
        <v>11217000</v>
      </c>
      <c r="P174" s="53"/>
      <c r="Q174" s="53"/>
    </row>
    <row r="175" spans="1:17" s="3" customFormat="1" ht="19.5" customHeight="1" hidden="1">
      <c r="A175" s="181"/>
      <c r="B175" s="208"/>
      <c r="C175" s="184" t="s">
        <v>307</v>
      </c>
      <c r="D175" s="99">
        <v>4264111</v>
      </c>
      <c r="E175" s="100" t="s">
        <v>308</v>
      </c>
      <c r="F175" s="19">
        <f t="shared" si="10"/>
        <v>30000</v>
      </c>
      <c r="G175" s="37"/>
      <c r="H175" s="37"/>
      <c r="I175" s="37">
        <v>30000</v>
      </c>
      <c r="J175" s="37"/>
      <c r="K175" s="37"/>
      <c r="L175" s="19">
        <f t="shared" si="11"/>
        <v>30000</v>
      </c>
      <c r="M175" s="37"/>
      <c r="N175" s="37"/>
      <c r="O175" s="37">
        <v>30000</v>
      </c>
      <c r="P175" s="37"/>
      <c r="Q175" s="37"/>
    </row>
    <row r="176" spans="1:17" s="3" customFormat="1" ht="19.5" customHeight="1" hidden="1">
      <c r="A176" s="181"/>
      <c r="B176" s="206"/>
      <c r="C176" s="184" t="s">
        <v>309</v>
      </c>
      <c r="D176" s="99">
        <v>426412</v>
      </c>
      <c r="E176" s="100" t="s">
        <v>310</v>
      </c>
      <c r="F176" s="19">
        <f t="shared" si="10"/>
        <v>10330000</v>
      </c>
      <c r="G176" s="37"/>
      <c r="H176" s="37"/>
      <c r="I176" s="37">
        <v>10330000</v>
      </c>
      <c r="J176" s="37"/>
      <c r="K176" s="37"/>
      <c r="L176" s="19">
        <f t="shared" si="11"/>
        <v>10330000</v>
      </c>
      <c r="M176" s="37"/>
      <c r="N176" s="37"/>
      <c r="O176" s="37">
        <v>10330000</v>
      </c>
      <c r="P176" s="37"/>
      <c r="Q176" s="37"/>
    </row>
    <row r="177" spans="1:17" s="3" customFormat="1" ht="19.5" customHeight="1" hidden="1">
      <c r="A177" s="181"/>
      <c r="B177" s="206"/>
      <c r="C177" s="184" t="s">
        <v>311</v>
      </c>
      <c r="D177" s="99">
        <v>426413</v>
      </c>
      <c r="E177" s="100" t="s">
        <v>312</v>
      </c>
      <c r="F177" s="19">
        <f t="shared" si="10"/>
        <v>42000</v>
      </c>
      <c r="G177" s="37"/>
      <c r="H177" s="37"/>
      <c r="I177" s="37">
        <v>42000</v>
      </c>
      <c r="J177" s="37"/>
      <c r="K177" s="37"/>
      <c r="L177" s="19">
        <f t="shared" si="11"/>
        <v>42000</v>
      </c>
      <c r="M177" s="37"/>
      <c r="N177" s="37"/>
      <c r="O177" s="37">
        <v>42000</v>
      </c>
      <c r="P177" s="37"/>
      <c r="Q177" s="37"/>
    </row>
    <row r="178" spans="1:17" s="3" customFormat="1" ht="19.5" customHeight="1" hidden="1">
      <c r="A178" s="181"/>
      <c r="B178" s="206"/>
      <c r="C178" s="184" t="s">
        <v>313</v>
      </c>
      <c r="D178" s="99">
        <v>4264911</v>
      </c>
      <c r="E178" s="100" t="s">
        <v>314</v>
      </c>
      <c r="F178" s="19">
        <f t="shared" si="10"/>
        <v>740000</v>
      </c>
      <c r="G178" s="37"/>
      <c r="H178" s="37"/>
      <c r="I178" s="37">
        <f>940000-200000</f>
        <v>740000</v>
      </c>
      <c r="J178" s="37"/>
      <c r="K178" s="37"/>
      <c r="L178" s="19">
        <f t="shared" si="11"/>
        <v>740000</v>
      </c>
      <c r="M178" s="37"/>
      <c r="N178" s="37"/>
      <c r="O178" s="37">
        <f>940000-200000</f>
        <v>740000</v>
      </c>
      <c r="P178" s="37"/>
      <c r="Q178" s="37"/>
    </row>
    <row r="179" spans="1:17" s="3" customFormat="1" ht="19.5" customHeight="1" hidden="1">
      <c r="A179" s="181"/>
      <c r="B179" s="209"/>
      <c r="C179" s="184" t="s">
        <v>315</v>
      </c>
      <c r="D179" s="99">
        <v>4264912</v>
      </c>
      <c r="E179" s="100" t="s">
        <v>316</v>
      </c>
      <c r="F179" s="19">
        <f t="shared" si="10"/>
        <v>75000</v>
      </c>
      <c r="G179" s="37"/>
      <c r="H179" s="37"/>
      <c r="I179" s="37">
        <v>75000</v>
      </c>
      <c r="J179" s="37"/>
      <c r="K179" s="37"/>
      <c r="L179" s="19">
        <f t="shared" si="11"/>
        <v>75000</v>
      </c>
      <c r="M179" s="37"/>
      <c r="N179" s="37"/>
      <c r="O179" s="37">
        <v>75000</v>
      </c>
      <c r="P179" s="37"/>
      <c r="Q179" s="37"/>
    </row>
    <row r="180" spans="1:17" s="3" customFormat="1" ht="26.25" customHeight="1">
      <c r="A180" s="181"/>
      <c r="B180" s="209"/>
      <c r="C180" s="182" t="s">
        <v>110</v>
      </c>
      <c r="D180" s="101">
        <v>426500</v>
      </c>
      <c r="E180" s="169" t="s">
        <v>111</v>
      </c>
      <c r="F180" s="20">
        <f>+G180+H180+I180+K180</f>
        <v>170000</v>
      </c>
      <c r="G180" s="53"/>
      <c r="H180" s="53"/>
      <c r="I180" s="53">
        <f>+I181</f>
        <v>170000</v>
      </c>
      <c r="J180" s="53"/>
      <c r="K180" s="53"/>
      <c r="L180" s="20">
        <f>+M180+N180+O180+Q180</f>
        <v>170000</v>
      </c>
      <c r="M180" s="53"/>
      <c r="N180" s="53"/>
      <c r="O180" s="53">
        <f>+O181</f>
        <v>170000</v>
      </c>
      <c r="P180" s="53"/>
      <c r="Q180" s="53"/>
    </row>
    <row r="181" spans="1:17" s="3" customFormat="1" ht="29.25" customHeight="1" hidden="1">
      <c r="A181" s="181"/>
      <c r="B181" s="209"/>
      <c r="C181" s="182" t="s">
        <v>317</v>
      </c>
      <c r="D181" s="99">
        <v>426591</v>
      </c>
      <c r="E181" s="100" t="s">
        <v>318</v>
      </c>
      <c r="F181" s="19">
        <f>+G181+H181+I181+K181</f>
        <v>170000</v>
      </c>
      <c r="G181" s="37"/>
      <c r="H181" s="37"/>
      <c r="I181" s="37">
        <v>170000</v>
      </c>
      <c r="J181" s="37"/>
      <c r="K181" s="37"/>
      <c r="L181" s="19">
        <f>+M181+N181+O181+Q181</f>
        <v>170000</v>
      </c>
      <c r="M181" s="37"/>
      <c r="N181" s="37"/>
      <c r="O181" s="37">
        <v>170000</v>
      </c>
      <c r="P181" s="37"/>
      <c r="Q181" s="37"/>
    </row>
    <row r="182" spans="1:17" s="3" customFormat="1" ht="26.25" customHeight="1">
      <c r="A182" s="181"/>
      <c r="B182" s="210"/>
      <c r="C182" s="182" t="s">
        <v>112</v>
      </c>
      <c r="D182" s="101">
        <v>426700</v>
      </c>
      <c r="E182" s="169" t="s">
        <v>435</v>
      </c>
      <c r="F182" s="20">
        <f>SUM(G182:K182)</f>
        <v>52530558</v>
      </c>
      <c r="G182" s="53"/>
      <c r="H182" s="53"/>
      <c r="I182" s="53">
        <f>+I183+I187+I188+I191</f>
        <v>51380558</v>
      </c>
      <c r="J182" s="53"/>
      <c r="K182" s="53">
        <f>+K183+K187+K188+K191</f>
        <v>1150000</v>
      </c>
      <c r="L182" s="20">
        <f>SUM(M182:Q182)</f>
        <v>52530558</v>
      </c>
      <c r="M182" s="53"/>
      <c r="N182" s="53"/>
      <c r="O182" s="53">
        <f>+O183+O187+O188+O191</f>
        <v>51380558</v>
      </c>
      <c r="P182" s="53"/>
      <c r="Q182" s="53">
        <f>+Q183+Q187+Q188+Q191</f>
        <v>1150000</v>
      </c>
    </row>
    <row r="183" spans="1:17" s="3" customFormat="1" ht="30" customHeight="1" hidden="1">
      <c r="A183" s="181"/>
      <c r="B183" s="122"/>
      <c r="C183" s="182" t="s">
        <v>319</v>
      </c>
      <c r="D183" s="101">
        <v>426710</v>
      </c>
      <c r="E183" s="100" t="s">
        <v>320</v>
      </c>
      <c r="F183" s="20">
        <f>+G183+H183+I183+K183</f>
        <v>5897000</v>
      </c>
      <c r="G183" s="53"/>
      <c r="H183" s="53"/>
      <c r="I183" s="53">
        <f>+I184+I186+I185</f>
        <v>5847000</v>
      </c>
      <c r="J183" s="53"/>
      <c r="K183" s="53">
        <f>+K184+K186+K185</f>
        <v>50000</v>
      </c>
      <c r="L183" s="20">
        <f>+M183+N183+O183+Q183</f>
        <v>5897000</v>
      </c>
      <c r="M183" s="53"/>
      <c r="N183" s="53"/>
      <c r="O183" s="53">
        <f>+O184+O186+O185</f>
        <v>5847000</v>
      </c>
      <c r="P183" s="53"/>
      <c r="Q183" s="53">
        <f>+Q184+Q186+Q185</f>
        <v>50000</v>
      </c>
    </row>
    <row r="184" spans="1:17" s="3" customFormat="1" ht="19.5" customHeight="1" hidden="1">
      <c r="A184" s="147"/>
      <c r="B184" s="208"/>
      <c r="C184" s="172" t="s">
        <v>321</v>
      </c>
      <c r="D184" s="99">
        <v>426711</v>
      </c>
      <c r="E184" s="100" t="s">
        <v>322</v>
      </c>
      <c r="F184" s="19">
        <f>+G184+H184+I184+K184</f>
        <v>5407000</v>
      </c>
      <c r="G184" s="37"/>
      <c r="H184" s="37"/>
      <c r="I184" s="37">
        <f>7250000-100000-1893000+100000</f>
        <v>5357000</v>
      </c>
      <c r="J184" s="37"/>
      <c r="K184" s="37">
        <v>50000</v>
      </c>
      <c r="L184" s="19">
        <f>+M184+N184+O184+Q184</f>
        <v>5407000</v>
      </c>
      <c r="M184" s="37"/>
      <c r="N184" s="37"/>
      <c r="O184" s="37">
        <f>7250000-100000-1893000+100000</f>
        <v>5357000</v>
      </c>
      <c r="P184" s="37"/>
      <c r="Q184" s="37">
        <v>50000</v>
      </c>
    </row>
    <row r="185" spans="1:17" s="3" customFormat="1" ht="19.5" customHeight="1" hidden="1">
      <c r="A185" s="147"/>
      <c r="B185" s="206"/>
      <c r="C185" s="172" t="s">
        <v>323</v>
      </c>
      <c r="D185" s="99">
        <v>42671103</v>
      </c>
      <c r="E185" s="100" t="s">
        <v>324</v>
      </c>
      <c r="F185" s="19">
        <f>+G185+H185+I185+K185</f>
        <v>400000</v>
      </c>
      <c r="G185" s="37"/>
      <c r="H185" s="37"/>
      <c r="I185" s="37">
        <v>400000</v>
      </c>
      <c r="J185" s="37"/>
      <c r="K185" s="37"/>
      <c r="L185" s="19">
        <f>+M185+N185+O185+Q185</f>
        <v>400000</v>
      </c>
      <c r="M185" s="37"/>
      <c r="N185" s="37"/>
      <c r="O185" s="37">
        <v>400000</v>
      </c>
      <c r="P185" s="37"/>
      <c r="Q185" s="37"/>
    </row>
    <row r="186" spans="1:17" s="3" customFormat="1" ht="19.5" customHeight="1" hidden="1">
      <c r="A186" s="147"/>
      <c r="B186" s="206"/>
      <c r="C186" s="172" t="s">
        <v>325</v>
      </c>
      <c r="D186" s="99">
        <v>42671105</v>
      </c>
      <c r="E186" s="100" t="s">
        <v>326</v>
      </c>
      <c r="F186" s="19">
        <f>+G186+H186+I186</f>
        <v>90000</v>
      </c>
      <c r="G186" s="37"/>
      <c r="H186" s="37"/>
      <c r="I186" s="37">
        <v>90000</v>
      </c>
      <c r="J186" s="37"/>
      <c r="K186" s="37"/>
      <c r="L186" s="19">
        <f>+M186+N186+O186</f>
        <v>90000</v>
      </c>
      <c r="M186" s="37"/>
      <c r="N186" s="37"/>
      <c r="O186" s="37">
        <v>90000</v>
      </c>
      <c r="P186" s="37"/>
      <c r="Q186" s="37"/>
    </row>
    <row r="187" spans="1:17" s="3" customFormat="1" ht="25.5" customHeight="1" hidden="1">
      <c r="A187" s="181"/>
      <c r="B187" s="154"/>
      <c r="C187" s="182" t="s">
        <v>327</v>
      </c>
      <c r="D187" s="101">
        <v>426721</v>
      </c>
      <c r="E187" s="169" t="s">
        <v>328</v>
      </c>
      <c r="F187" s="20">
        <f>+G187+H187+I187+K187</f>
        <v>19700000</v>
      </c>
      <c r="G187" s="37"/>
      <c r="H187" s="37"/>
      <c r="I187" s="53">
        <v>19000000</v>
      </c>
      <c r="J187" s="53"/>
      <c r="K187" s="53">
        <v>700000</v>
      </c>
      <c r="L187" s="20">
        <f>+M187+N187+O187+Q187</f>
        <v>19700000</v>
      </c>
      <c r="M187" s="37"/>
      <c r="N187" s="37"/>
      <c r="O187" s="53">
        <v>19000000</v>
      </c>
      <c r="P187" s="53"/>
      <c r="Q187" s="53">
        <v>700000</v>
      </c>
    </row>
    <row r="188" spans="1:17" s="3" customFormat="1" ht="19.5" customHeight="1" hidden="1">
      <c r="A188" s="181"/>
      <c r="B188" s="134"/>
      <c r="C188" s="182" t="s">
        <v>329</v>
      </c>
      <c r="D188" s="101">
        <v>426750</v>
      </c>
      <c r="E188" s="169" t="s">
        <v>330</v>
      </c>
      <c r="F188" s="20">
        <f>SUM(G188:K188)</f>
        <v>24825558</v>
      </c>
      <c r="G188" s="37"/>
      <c r="H188" s="53"/>
      <c r="I188" s="53">
        <f>SUM(I189:I190)</f>
        <v>24725558</v>
      </c>
      <c r="J188" s="53"/>
      <c r="K188" s="53">
        <f>SUM(K189:K190)</f>
        <v>100000</v>
      </c>
      <c r="L188" s="20">
        <f>SUM(M188:Q188)</f>
        <v>24825558</v>
      </c>
      <c r="M188" s="37"/>
      <c r="N188" s="53"/>
      <c r="O188" s="53">
        <f>SUM(O189:O190)</f>
        <v>24725558</v>
      </c>
      <c r="P188" s="53"/>
      <c r="Q188" s="53">
        <f>SUM(Q189:Q190)</f>
        <v>100000</v>
      </c>
    </row>
    <row r="189" spans="1:17" s="3" customFormat="1" ht="19.5" customHeight="1" hidden="1">
      <c r="A189" s="181"/>
      <c r="B189" s="208"/>
      <c r="C189" s="184" t="s">
        <v>331</v>
      </c>
      <c r="D189" s="99">
        <v>426751</v>
      </c>
      <c r="E189" s="100" t="s">
        <v>332</v>
      </c>
      <c r="F189" s="19">
        <f>+G189+H189+I189+K189</f>
        <v>16307000</v>
      </c>
      <c r="G189" s="37"/>
      <c r="H189" s="37"/>
      <c r="I189" s="37">
        <f>15907000+300000</f>
        <v>16207000</v>
      </c>
      <c r="J189" s="37"/>
      <c r="K189" s="37">
        <v>100000</v>
      </c>
      <c r="L189" s="19">
        <f>+M189+N189+O189+Q189</f>
        <v>16307000</v>
      </c>
      <c r="M189" s="37"/>
      <c r="N189" s="37"/>
      <c r="O189" s="37">
        <f>15907000+300000</f>
        <v>16207000</v>
      </c>
      <c r="P189" s="37"/>
      <c r="Q189" s="37">
        <v>100000</v>
      </c>
    </row>
    <row r="190" spans="1:17" s="3" customFormat="1" ht="19.5" customHeight="1" hidden="1">
      <c r="A190" s="181"/>
      <c r="B190" s="183"/>
      <c r="C190" s="184" t="s">
        <v>333</v>
      </c>
      <c r="D190" s="211">
        <v>42675108</v>
      </c>
      <c r="E190" s="100" t="s">
        <v>334</v>
      </c>
      <c r="F190" s="19">
        <f>+G190+H190+I190+K190</f>
        <v>8518558</v>
      </c>
      <c r="G190" s="37"/>
      <c r="H190" s="37"/>
      <c r="I190" s="37">
        <v>8518558</v>
      </c>
      <c r="J190" s="37"/>
      <c r="K190" s="37"/>
      <c r="L190" s="19">
        <f>+M190+N190+O190+Q190</f>
        <v>8518558</v>
      </c>
      <c r="M190" s="37"/>
      <c r="N190" s="37"/>
      <c r="O190" s="37">
        <v>8518558</v>
      </c>
      <c r="P190" s="37"/>
      <c r="Q190" s="37"/>
    </row>
    <row r="191" spans="1:17" s="3" customFormat="1" ht="19.5" customHeight="1" hidden="1">
      <c r="A191" s="188"/>
      <c r="B191" s="210"/>
      <c r="C191" s="182" t="s">
        <v>335</v>
      </c>
      <c r="D191" s="101">
        <v>426790</v>
      </c>
      <c r="E191" s="169" t="s">
        <v>336</v>
      </c>
      <c r="F191" s="20">
        <f>+G191+H191+I191+K191</f>
        <v>2108000</v>
      </c>
      <c r="G191" s="53"/>
      <c r="H191" s="53"/>
      <c r="I191" s="53">
        <f>I192+I193</f>
        <v>1808000</v>
      </c>
      <c r="J191" s="53"/>
      <c r="K191" s="53">
        <f>K192+K193</f>
        <v>300000</v>
      </c>
      <c r="L191" s="20">
        <f>+M191+N191+O191+Q191</f>
        <v>2108000</v>
      </c>
      <c r="M191" s="53"/>
      <c r="N191" s="53"/>
      <c r="O191" s="53">
        <f>O192+O193</f>
        <v>1808000</v>
      </c>
      <c r="P191" s="53"/>
      <c r="Q191" s="53">
        <f>Q192+Q193</f>
        <v>300000</v>
      </c>
    </row>
    <row r="192" spans="1:17" s="3" customFormat="1" ht="19.5" customHeight="1" hidden="1">
      <c r="A192" s="181"/>
      <c r="B192" s="194"/>
      <c r="C192" s="184" t="s">
        <v>337</v>
      </c>
      <c r="D192" s="99">
        <v>42679128</v>
      </c>
      <c r="E192" s="100" t="s">
        <v>338</v>
      </c>
      <c r="F192" s="19">
        <f>+G192+H192+I192+K192</f>
        <v>1448000</v>
      </c>
      <c r="G192" s="37"/>
      <c r="H192" s="37"/>
      <c r="I192" s="37">
        <v>1148000</v>
      </c>
      <c r="J192" s="37"/>
      <c r="K192" s="37">
        <v>300000</v>
      </c>
      <c r="L192" s="19">
        <f>+M192+N192+O192+Q192</f>
        <v>1448000</v>
      </c>
      <c r="M192" s="37"/>
      <c r="N192" s="37"/>
      <c r="O192" s="37">
        <v>1148000</v>
      </c>
      <c r="P192" s="37"/>
      <c r="Q192" s="37">
        <v>300000</v>
      </c>
    </row>
    <row r="193" spans="1:17" s="3" customFormat="1" ht="19.5" customHeight="1" hidden="1">
      <c r="A193" s="181"/>
      <c r="B193" s="194"/>
      <c r="C193" s="184" t="s">
        <v>339</v>
      </c>
      <c r="D193" s="99">
        <v>42679101</v>
      </c>
      <c r="E193" s="100" t="s">
        <v>340</v>
      </c>
      <c r="F193" s="19">
        <f>+G193+H193+I193+K193</f>
        <v>660000</v>
      </c>
      <c r="G193" s="37"/>
      <c r="H193" s="37"/>
      <c r="I193" s="37">
        <v>660000</v>
      </c>
      <c r="J193" s="37"/>
      <c r="K193" s="37"/>
      <c r="L193" s="19">
        <f>+M193+N193+O193+Q193</f>
        <v>660000</v>
      </c>
      <c r="M193" s="37"/>
      <c r="N193" s="37"/>
      <c r="O193" s="37">
        <v>660000</v>
      </c>
      <c r="P193" s="37"/>
      <c r="Q193" s="37"/>
    </row>
    <row r="194" spans="1:17" s="3" customFormat="1" ht="24.75" customHeight="1">
      <c r="A194" s="181"/>
      <c r="B194" s="122"/>
      <c r="C194" s="182" t="s">
        <v>113</v>
      </c>
      <c r="D194" s="101">
        <v>426800</v>
      </c>
      <c r="E194" s="169" t="s">
        <v>436</v>
      </c>
      <c r="F194" s="20">
        <f aca="true" t="shared" si="12" ref="F194:F211">SUM(G194:K194)</f>
        <v>1355000</v>
      </c>
      <c r="G194" s="53"/>
      <c r="H194" s="53"/>
      <c r="I194" s="53">
        <f>+I195+I199+I196+I197+I198</f>
        <v>1355000</v>
      </c>
      <c r="J194" s="53"/>
      <c r="K194" s="53"/>
      <c r="L194" s="20">
        <f aca="true" t="shared" si="13" ref="L194:L211">SUM(M194:Q194)</f>
        <v>1355000</v>
      </c>
      <c r="M194" s="53"/>
      <c r="N194" s="53"/>
      <c r="O194" s="53">
        <f>+O195+O199+O196+O197+O198</f>
        <v>1355000</v>
      </c>
      <c r="P194" s="53"/>
      <c r="Q194" s="53"/>
    </row>
    <row r="195" spans="1:17" s="3" customFormat="1" ht="21" customHeight="1" hidden="1">
      <c r="A195" s="147"/>
      <c r="B195" s="208"/>
      <c r="C195" s="172" t="s">
        <v>341</v>
      </c>
      <c r="D195" s="99">
        <v>426811</v>
      </c>
      <c r="E195" s="100" t="s">
        <v>342</v>
      </c>
      <c r="F195" s="19">
        <f t="shared" si="12"/>
        <v>1245000</v>
      </c>
      <c r="G195" s="37"/>
      <c r="H195" s="37"/>
      <c r="I195" s="37">
        <v>1245000</v>
      </c>
      <c r="J195" s="37"/>
      <c r="K195" s="37"/>
      <c r="L195" s="19">
        <f t="shared" si="13"/>
        <v>1245000</v>
      </c>
      <c r="M195" s="37"/>
      <c r="N195" s="37"/>
      <c r="O195" s="37">
        <v>1245000</v>
      </c>
      <c r="P195" s="37"/>
      <c r="Q195" s="37"/>
    </row>
    <row r="196" spans="1:17" s="3" customFormat="1" ht="21" customHeight="1" hidden="1">
      <c r="A196" s="147"/>
      <c r="B196" s="206"/>
      <c r="C196" s="172" t="s">
        <v>343</v>
      </c>
      <c r="D196" s="99">
        <v>426812</v>
      </c>
      <c r="E196" s="100" t="s">
        <v>344</v>
      </c>
      <c r="F196" s="19">
        <f t="shared" si="12"/>
        <v>60000</v>
      </c>
      <c r="G196" s="37"/>
      <c r="H196" s="37"/>
      <c r="I196" s="37">
        <v>60000</v>
      </c>
      <c r="J196" s="37"/>
      <c r="K196" s="37"/>
      <c r="L196" s="19">
        <f t="shared" si="13"/>
        <v>60000</v>
      </c>
      <c r="M196" s="37"/>
      <c r="N196" s="37"/>
      <c r="O196" s="37">
        <v>60000</v>
      </c>
      <c r="P196" s="37"/>
      <c r="Q196" s="37"/>
    </row>
    <row r="197" spans="1:17" s="3" customFormat="1" ht="21" customHeight="1" hidden="1">
      <c r="A197" s="147"/>
      <c r="B197" s="206"/>
      <c r="C197" s="172" t="s">
        <v>345</v>
      </c>
      <c r="D197" s="99">
        <v>426819</v>
      </c>
      <c r="E197" s="100" t="s">
        <v>346</v>
      </c>
      <c r="F197" s="19">
        <f t="shared" si="12"/>
        <v>5000</v>
      </c>
      <c r="G197" s="37"/>
      <c r="H197" s="37"/>
      <c r="I197" s="37">
        <v>5000</v>
      </c>
      <c r="J197" s="37"/>
      <c r="K197" s="37"/>
      <c r="L197" s="19">
        <f t="shared" si="13"/>
        <v>5000</v>
      </c>
      <c r="M197" s="37"/>
      <c r="N197" s="37"/>
      <c r="O197" s="37">
        <v>5000</v>
      </c>
      <c r="P197" s="37"/>
      <c r="Q197" s="37"/>
    </row>
    <row r="198" spans="1:17" s="3" customFormat="1" ht="21" customHeight="1" hidden="1">
      <c r="A198" s="147"/>
      <c r="B198" s="206"/>
      <c r="C198" s="172" t="s">
        <v>347</v>
      </c>
      <c r="D198" s="99">
        <v>426829</v>
      </c>
      <c r="E198" s="100" t="s">
        <v>411</v>
      </c>
      <c r="F198" s="19">
        <f t="shared" si="12"/>
        <v>30000</v>
      </c>
      <c r="G198" s="37"/>
      <c r="H198" s="37"/>
      <c r="I198" s="37">
        <v>30000</v>
      </c>
      <c r="J198" s="37"/>
      <c r="K198" s="37"/>
      <c r="L198" s="19">
        <f t="shared" si="13"/>
        <v>30000</v>
      </c>
      <c r="M198" s="37"/>
      <c r="N198" s="37"/>
      <c r="O198" s="37">
        <v>30000</v>
      </c>
      <c r="P198" s="37"/>
      <c r="Q198" s="37"/>
    </row>
    <row r="199" spans="1:17" s="3" customFormat="1" ht="21" customHeight="1" hidden="1">
      <c r="A199" s="147"/>
      <c r="B199" s="206"/>
      <c r="C199" s="172" t="s">
        <v>420</v>
      </c>
      <c r="D199" s="99">
        <v>4268292</v>
      </c>
      <c r="E199" s="100" t="s">
        <v>348</v>
      </c>
      <c r="F199" s="19">
        <f t="shared" si="12"/>
        <v>15000</v>
      </c>
      <c r="G199" s="37"/>
      <c r="H199" s="37"/>
      <c r="I199" s="37">
        <v>15000</v>
      </c>
      <c r="J199" s="37"/>
      <c r="K199" s="37"/>
      <c r="L199" s="19">
        <f t="shared" si="13"/>
        <v>15000</v>
      </c>
      <c r="M199" s="37"/>
      <c r="N199" s="37"/>
      <c r="O199" s="37">
        <v>15000</v>
      </c>
      <c r="P199" s="37"/>
      <c r="Q199" s="37"/>
    </row>
    <row r="200" spans="1:17" s="3" customFormat="1" ht="32.25" customHeight="1" thickBot="1">
      <c r="A200" s="181"/>
      <c r="B200" s="210"/>
      <c r="C200" s="182" t="s">
        <v>114</v>
      </c>
      <c r="D200" s="101">
        <v>426900</v>
      </c>
      <c r="E200" s="169" t="s">
        <v>115</v>
      </c>
      <c r="F200" s="20">
        <f t="shared" si="12"/>
        <v>473000.39</v>
      </c>
      <c r="G200" s="53"/>
      <c r="H200" s="53"/>
      <c r="I200" s="53">
        <f>SUM(I201:I211)</f>
        <v>473000.39</v>
      </c>
      <c r="J200" s="53"/>
      <c r="K200" s="53"/>
      <c r="L200" s="20">
        <f t="shared" si="13"/>
        <v>473000.39</v>
      </c>
      <c r="M200" s="53"/>
      <c r="N200" s="53"/>
      <c r="O200" s="53">
        <f>SUM(O201:O211)</f>
        <v>473000.39</v>
      </c>
      <c r="P200" s="53"/>
      <c r="Q200" s="53"/>
    </row>
    <row r="201" spans="1:17" s="3" customFormat="1" ht="18.75" customHeight="1" hidden="1">
      <c r="A201" s="181"/>
      <c r="B201" s="212"/>
      <c r="C201" s="184" t="s">
        <v>349</v>
      </c>
      <c r="D201" s="99">
        <v>42691101</v>
      </c>
      <c r="E201" s="100" t="s">
        <v>350</v>
      </c>
      <c r="F201" s="19">
        <f t="shared" si="12"/>
        <v>100000</v>
      </c>
      <c r="G201" s="37"/>
      <c r="H201" s="37"/>
      <c r="I201" s="37">
        <v>100000</v>
      </c>
      <c r="J201" s="37"/>
      <c r="K201" s="37"/>
      <c r="L201" s="19">
        <f t="shared" si="13"/>
        <v>100000</v>
      </c>
      <c r="M201" s="37"/>
      <c r="N201" s="37"/>
      <c r="O201" s="37">
        <v>100000</v>
      </c>
      <c r="P201" s="37"/>
      <c r="Q201" s="37"/>
    </row>
    <row r="202" spans="1:17" s="3" customFormat="1" ht="18.75" customHeight="1" hidden="1">
      <c r="A202" s="181"/>
      <c r="B202" s="212"/>
      <c r="C202" s="184" t="s">
        <v>351</v>
      </c>
      <c r="D202" s="99">
        <v>42691102</v>
      </c>
      <c r="E202" s="100" t="s">
        <v>352</v>
      </c>
      <c r="F202" s="19">
        <f t="shared" si="12"/>
        <v>80000</v>
      </c>
      <c r="G202" s="37"/>
      <c r="H202" s="37"/>
      <c r="I202" s="37">
        <v>80000</v>
      </c>
      <c r="J202" s="37"/>
      <c r="K202" s="37"/>
      <c r="L202" s="19">
        <f t="shared" si="13"/>
        <v>80000</v>
      </c>
      <c r="M202" s="37"/>
      <c r="N202" s="37"/>
      <c r="O202" s="37">
        <v>80000</v>
      </c>
      <c r="P202" s="37"/>
      <c r="Q202" s="37"/>
    </row>
    <row r="203" spans="1:17" s="3" customFormat="1" ht="18.75" customHeight="1" hidden="1">
      <c r="A203" s="181"/>
      <c r="B203" s="212"/>
      <c r="C203" s="184" t="s">
        <v>353</v>
      </c>
      <c r="D203" s="99">
        <v>42691103</v>
      </c>
      <c r="E203" s="100" t="s">
        <v>354</v>
      </c>
      <c r="F203" s="19">
        <f t="shared" si="12"/>
        <v>58000.39</v>
      </c>
      <c r="G203" s="37"/>
      <c r="H203" s="37"/>
      <c r="I203" s="37">
        <v>58000.39</v>
      </c>
      <c r="J203" s="37"/>
      <c r="K203" s="37"/>
      <c r="L203" s="19">
        <f t="shared" si="13"/>
        <v>58000.39</v>
      </c>
      <c r="M203" s="37"/>
      <c r="N203" s="37"/>
      <c r="O203" s="37">
        <v>58000.39</v>
      </c>
      <c r="P203" s="37"/>
      <c r="Q203" s="37"/>
    </row>
    <row r="204" spans="1:17" s="3" customFormat="1" ht="18.75" customHeight="1" hidden="1">
      <c r="A204" s="181"/>
      <c r="B204" s="212"/>
      <c r="C204" s="184" t="s">
        <v>355</v>
      </c>
      <c r="D204" s="99">
        <v>42691104</v>
      </c>
      <c r="E204" s="100" t="s">
        <v>356</v>
      </c>
      <c r="F204" s="19">
        <f t="shared" si="12"/>
        <v>20000</v>
      </c>
      <c r="G204" s="37"/>
      <c r="H204" s="37"/>
      <c r="I204" s="37">
        <v>20000</v>
      </c>
      <c r="J204" s="37"/>
      <c r="K204" s="37"/>
      <c r="L204" s="19">
        <f t="shared" si="13"/>
        <v>20000</v>
      </c>
      <c r="M204" s="37"/>
      <c r="N204" s="37"/>
      <c r="O204" s="37">
        <v>20000</v>
      </c>
      <c r="P204" s="37"/>
      <c r="Q204" s="37"/>
    </row>
    <row r="205" spans="1:17" s="3" customFormat="1" ht="18.75" customHeight="1" hidden="1">
      <c r="A205" s="181"/>
      <c r="B205" s="212"/>
      <c r="C205" s="184" t="s">
        <v>357</v>
      </c>
      <c r="D205" s="99">
        <v>42691105</v>
      </c>
      <c r="E205" s="100" t="s">
        <v>358</v>
      </c>
      <c r="F205" s="19">
        <f t="shared" si="12"/>
        <v>30000</v>
      </c>
      <c r="G205" s="37"/>
      <c r="H205" s="37"/>
      <c r="I205" s="37">
        <v>30000</v>
      </c>
      <c r="J205" s="37"/>
      <c r="K205" s="37"/>
      <c r="L205" s="19">
        <f t="shared" si="13"/>
        <v>30000</v>
      </c>
      <c r="M205" s="37"/>
      <c r="N205" s="37"/>
      <c r="O205" s="37">
        <v>30000</v>
      </c>
      <c r="P205" s="37"/>
      <c r="Q205" s="37"/>
    </row>
    <row r="206" spans="1:17" s="3" customFormat="1" ht="18.75" customHeight="1" hidden="1">
      <c r="A206" s="181"/>
      <c r="B206" s="212"/>
      <c r="C206" s="184" t="s">
        <v>359</v>
      </c>
      <c r="D206" s="99">
        <v>42691106</v>
      </c>
      <c r="E206" s="100" t="s">
        <v>360</v>
      </c>
      <c r="F206" s="19">
        <f t="shared" si="12"/>
        <v>30000</v>
      </c>
      <c r="G206" s="37"/>
      <c r="H206" s="37"/>
      <c r="I206" s="37">
        <v>30000</v>
      </c>
      <c r="J206" s="37"/>
      <c r="K206" s="37"/>
      <c r="L206" s="19">
        <f t="shared" si="13"/>
        <v>30000</v>
      </c>
      <c r="M206" s="37"/>
      <c r="N206" s="37"/>
      <c r="O206" s="37">
        <v>30000</v>
      </c>
      <c r="P206" s="37"/>
      <c r="Q206" s="37"/>
    </row>
    <row r="207" spans="1:17" s="3" customFormat="1" ht="18.75" customHeight="1" hidden="1">
      <c r="A207" s="181"/>
      <c r="B207" s="212"/>
      <c r="C207" s="184" t="s">
        <v>361</v>
      </c>
      <c r="D207" s="99">
        <v>42691107</v>
      </c>
      <c r="E207" s="100" t="s">
        <v>362</v>
      </c>
      <c r="F207" s="19">
        <f t="shared" si="12"/>
        <v>20000</v>
      </c>
      <c r="G207" s="37"/>
      <c r="H207" s="37"/>
      <c r="I207" s="37">
        <v>20000</v>
      </c>
      <c r="J207" s="37"/>
      <c r="K207" s="37"/>
      <c r="L207" s="19">
        <f t="shared" si="13"/>
        <v>20000</v>
      </c>
      <c r="M207" s="37"/>
      <c r="N207" s="37"/>
      <c r="O207" s="37">
        <v>20000</v>
      </c>
      <c r="P207" s="37"/>
      <c r="Q207" s="37"/>
    </row>
    <row r="208" spans="1:17" s="3" customFormat="1" ht="18.75" customHeight="1" hidden="1">
      <c r="A208" s="181"/>
      <c r="B208" s="206"/>
      <c r="C208" s="184" t="s">
        <v>363</v>
      </c>
      <c r="D208" s="99">
        <v>426912</v>
      </c>
      <c r="E208" s="100" t="s">
        <v>364</v>
      </c>
      <c r="F208" s="19">
        <f t="shared" si="12"/>
        <v>40000</v>
      </c>
      <c r="G208" s="37"/>
      <c r="H208" s="37"/>
      <c r="I208" s="37">
        <v>40000</v>
      </c>
      <c r="J208" s="37"/>
      <c r="K208" s="37"/>
      <c r="L208" s="19">
        <f t="shared" si="13"/>
        <v>40000</v>
      </c>
      <c r="M208" s="37"/>
      <c r="N208" s="37"/>
      <c r="O208" s="37">
        <v>40000</v>
      </c>
      <c r="P208" s="37"/>
      <c r="Q208" s="37"/>
    </row>
    <row r="209" spans="1:17" s="3" customFormat="1" ht="18.75" customHeight="1" hidden="1">
      <c r="A209" s="181"/>
      <c r="B209" s="206"/>
      <c r="C209" s="184" t="s">
        <v>365</v>
      </c>
      <c r="D209" s="99">
        <v>4269121</v>
      </c>
      <c r="E209" s="100" t="s">
        <v>366</v>
      </c>
      <c r="F209" s="19">
        <f t="shared" si="12"/>
        <v>10000</v>
      </c>
      <c r="G209" s="37"/>
      <c r="H209" s="37"/>
      <c r="I209" s="37">
        <v>10000</v>
      </c>
      <c r="J209" s="37"/>
      <c r="K209" s="37"/>
      <c r="L209" s="19">
        <f t="shared" si="13"/>
        <v>10000</v>
      </c>
      <c r="M209" s="37"/>
      <c r="N209" s="37"/>
      <c r="O209" s="37">
        <v>10000</v>
      </c>
      <c r="P209" s="37"/>
      <c r="Q209" s="37"/>
    </row>
    <row r="210" spans="1:17" s="3" customFormat="1" ht="18.75" customHeight="1" hidden="1">
      <c r="A210" s="181"/>
      <c r="B210" s="206"/>
      <c r="C210" s="184" t="s">
        <v>367</v>
      </c>
      <c r="D210" s="99">
        <v>4269122</v>
      </c>
      <c r="E210" s="100" t="s">
        <v>368</v>
      </c>
      <c r="F210" s="19">
        <f t="shared" si="12"/>
        <v>75000</v>
      </c>
      <c r="G210" s="37"/>
      <c r="H210" s="37"/>
      <c r="I210" s="37">
        <v>75000</v>
      </c>
      <c r="J210" s="37"/>
      <c r="K210" s="37"/>
      <c r="L210" s="19">
        <f t="shared" si="13"/>
        <v>75000</v>
      </c>
      <c r="M210" s="37"/>
      <c r="N210" s="37"/>
      <c r="O210" s="37">
        <v>75000</v>
      </c>
      <c r="P210" s="37"/>
      <c r="Q210" s="37"/>
    </row>
    <row r="211" spans="1:17" s="3" customFormat="1" ht="18.75" customHeight="1" hidden="1" thickBot="1">
      <c r="A211" s="181"/>
      <c r="B211" s="206"/>
      <c r="C211" s="184" t="s">
        <v>369</v>
      </c>
      <c r="D211" s="107">
        <v>426914</v>
      </c>
      <c r="E211" s="150" t="s">
        <v>370</v>
      </c>
      <c r="F211" s="25">
        <f t="shared" si="12"/>
        <v>10000</v>
      </c>
      <c r="G211" s="58"/>
      <c r="H211" s="58"/>
      <c r="I211" s="58">
        <v>10000</v>
      </c>
      <c r="J211" s="58"/>
      <c r="K211" s="58"/>
      <c r="L211" s="25">
        <f t="shared" si="13"/>
        <v>10000</v>
      </c>
      <c r="M211" s="58"/>
      <c r="N211" s="58"/>
      <c r="O211" s="58">
        <v>10000</v>
      </c>
      <c r="P211" s="58"/>
      <c r="Q211" s="58"/>
    </row>
    <row r="212" spans="1:17" s="3" customFormat="1" ht="32.25" customHeight="1" thickBot="1" thickTop="1">
      <c r="A212" s="117" t="s">
        <v>29</v>
      </c>
      <c r="B212" s="115">
        <v>444200</v>
      </c>
      <c r="C212" s="213"/>
      <c r="D212" s="261" t="s">
        <v>116</v>
      </c>
      <c r="E212" s="261"/>
      <c r="F212" s="13">
        <f>+G212+H212+I212+K212</f>
        <v>485000</v>
      </c>
      <c r="G212" s="43"/>
      <c r="H212" s="43"/>
      <c r="I212" s="43"/>
      <c r="J212" s="43"/>
      <c r="K212" s="43">
        <f>+K214+K213</f>
        <v>485000</v>
      </c>
      <c r="L212" s="13">
        <f>+M212+N212+O212+Q212</f>
        <v>485000</v>
      </c>
      <c r="M212" s="43"/>
      <c r="N212" s="43"/>
      <c r="O212" s="43"/>
      <c r="P212" s="43"/>
      <c r="Q212" s="43">
        <f>+Q214+Q213</f>
        <v>485000</v>
      </c>
    </row>
    <row r="213" spans="1:17" s="3" customFormat="1" ht="23.25" customHeight="1" hidden="1" thickBot="1" thickTop="1">
      <c r="A213" s="117"/>
      <c r="B213" s="119"/>
      <c r="C213" s="214"/>
      <c r="D213" s="156">
        <v>444211</v>
      </c>
      <c r="E213" s="157" t="s">
        <v>117</v>
      </c>
      <c r="F213" s="28">
        <f>+K213</f>
        <v>120000</v>
      </c>
      <c r="G213" s="59"/>
      <c r="H213" s="59"/>
      <c r="I213" s="59"/>
      <c r="J213" s="59"/>
      <c r="K213" s="59">
        <v>120000</v>
      </c>
      <c r="L213" s="28">
        <f>+Q213</f>
        <v>120000</v>
      </c>
      <c r="M213" s="59"/>
      <c r="N213" s="59"/>
      <c r="O213" s="59"/>
      <c r="P213" s="59"/>
      <c r="Q213" s="59">
        <v>120000</v>
      </c>
    </row>
    <row r="214" spans="1:17" s="3" customFormat="1" ht="23.25" customHeight="1" hidden="1" thickBot="1" thickTop="1">
      <c r="A214" s="117"/>
      <c r="B214" s="119"/>
      <c r="C214" s="214"/>
      <c r="D214" s="156">
        <v>444212</v>
      </c>
      <c r="E214" s="157" t="s">
        <v>419</v>
      </c>
      <c r="F214" s="28">
        <f>+K214</f>
        <v>365000</v>
      </c>
      <c r="G214" s="59"/>
      <c r="H214" s="59"/>
      <c r="I214" s="59"/>
      <c r="J214" s="59"/>
      <c r="K214" s="59">
        <f>450000-85000</f>
        <v>365000</v>
      </c>
      <c r="L214" s="28">
        <f>+Q214</f>
        <v>365000</v>
      </c>
      <c r="M214" s="59"/>
      <c r="N214" s="59"/>
      <c r="O214" s="59"/>
      <c r="P214" s="59"/>
      <c r="Q214" s="59">
        <f>450000-85000</f>
        <v>365000</v>
      </c>
    </row>
    <row r="215" spans="1:17" s="3" customFormat="1" ht="40.5" customHeight="1" thickBot="1" thickTop="1">
      <c r="A215" s="215" t="s">
        <v>31</v>
      </c>
      <c r="B215" s="115">
        <v>465100</v>
      </c>
      <c r="C215" s="213"/>
      <c r="D215" s="260" t="s">
        <v>118</v>
      </c>
      <c r="E215" s="260"/>
      <c r="F215" s="44">
        <f>+G215+H215+I215+K215</f>
        <v>2661490</v>
      </c>
      <c r="G215" s="45"/>
      <c r="H215" s="45"/>
      <c r="I215" s="45">
        <f>+I216</f>
        <v>2624410</v>
      </c>
      <c r="J215" s="45"/>
      <c r="K215" s="216">
        <f>+K216</f>
        <v>37080</v>
      </c>
      <c r="L215" s="44">
        <f>+M215+N215+O215+Q215</f>
        <v>2661490</v>
      </c>
      <c r="M215" s="45"/>
      <c r="N215" s="45"/>
      <c r="O215" s="45">
        <f>+O216</f>
        <v>2624410</v>
      </c>
      <c r="P215" s="45"/>
      <c r="Q215" s="216">
        <f>+Q216</f>
        <v>37080</v>
      </c>
    </row>
    <row r="216" spans="1:17" s="3" customFormat="1" ht="28.5" customHeight="1" hidden="1" thickBot="1" thickTop="1">
      <c r="A216" s="181"/>
      <c r="B216" s="194"/>
      <c r="C216" s="217" t="s">
        <v>371</v>
      </c>
      <c r="D216" s="106">
        <v>465112</v>
      </c>
      <c r="E216" s="218" t="s">
        <v>119</v>
      </c>
      <c r="F216" s="46">
        <f>+K216+I216</f>
        <v>2661490</v>
      </c>
      <c r="G216" s="47"/>
      <c r="H216" s="47"/>
      <c r="I216" s="47">
        <v>2624410</v>
      </c>
      <c r="J216" s="219"/>
      <c r="K216" s="220">
        <v>37080</v>
      </c>
      <c r="L216" s="46">
        <f>+Q216+O216</f>
        <v>2661490</v>
      </c>
      <c r="M216" s="47"/>
      <c r="N216" s="47"/>
      <c r="O216" s="47">
        <v>2624410</v>
      </c>
      <c r="P216" s="219"/>
      <c r="Q216" s="220">
        <v>37080</v>
      </c>
    </row>
    <row r="217" spans="1:17" s="3" customFormat="1" ht="42" customHeight="1" thickBot="1" thickTop="1">
      <c r="A217" s="117" t="s">
        <v>120</v>
      </c>
      <c r="B217" s="115">
        <v>481900</v>
      </c>
      <c r="C217" s="116"/>
      <c r="D217" s="261" t="s">
        <v>121</v>
      </c>
      <c r="E217" s="261"/>
      <c r="F217" s="13">
        <f>+I217+J217+K217</f>
        <v>220000</v>
      </c>
      <c r="G217" s="43"/>
      <c r="H217" s="30"/>
      <c r="I217" s="30"/>
      <c r="J217" s="221"/>
      <c r="K217" s="222">
        <f>+K218</f>
        <v>220000</v>
      </c>
      <c r="L217" s="13">
        <f>+O217+P217+Q217</f>
        <v>220000</v>
      </c>
      <c r="M217" s="43"/>
      <c r="N217" s="30"/>
      <c r="O217" s="30"/>
      <c r="P217" s="221"/>
      <c r="Q217" s="222">
        <f>+Q218</f>
        <v>220000</v>
      </c>
    </row>
    <row r="218" spans="1:17" s="3" customFormat="1" ht="28.5" customHeight="1" hidden="1" thickBot="1" thickTop="1">
      <c r="A218" s="181"/>
      <c r="B218" s="194"/>
      <c r="C218" s="217" t="s">
        <v>372</v>
      </c>
      <c r="D218" s="223">
        <v>481991</v>
      </c>
      <c r="E218" s="224" t="s">
        <v>122</v>
      </c>
      <c r="F218" s="46">
        <f>+I218+J218+K218</f>
        <v>220000</v>
      </c>
      <c r="G218" s="47"/>
      <c r="H218" s="47"/>
      <c r="I218" s="47"/>
      <c r="J218" s="219"/>
      <c r="K218" s="225">
        <f>110000+110000</f>
        <v>220000</v>
      </c>
      <c r="L218" s="46">
        <f>+O218+P218+Q218</f>
        <v>220000</v>
      </c>
      <c r="M218" s="47"/>
      <c r="N218" s="47"/>
      <c r="O218" s="47"/>
      <c r="P218" s="219"/>
      <c r="Q218" s="225">
        <f>110000+110000</f>
        <v>220000</v>
      </c>
    </row>
    <row r="219" spans="1:17" s="3" customFormat="1" ht="31.5" customHeight="1" thickBot="1" thickTop="1">
      <c r="A219" s="90" t="s">
        <v>123</v>
      </c>
      <c r="B219" s="110">
        <v>482000</v>
      </c>
      <c r="C219" s="226"/>
      <c r="D219" s="262" t="s">
        <v>124</v>
      </c>
      <c r="E219" s="262"/>
      <c r="F219" s="227">
        <f>+F220+F223</f>
        <v>786000</v>
      </c>
      <c r="G219" s="227"/>
      <c r="H219" s="227"/>
      <c r="I219" s="227">
        <f>+I220+I223</f>
        <v>143000</v>
      </c>
      <c r="J219" s="227"/>
      <c r="K219" s="227">
        <f>+K220+K223</f>
        <v>643000</v>
      </c>
      <c r="L219" s="227">
        <f>+O219+Q219</f>
        <v>786000</v>
      </c>
      <c r="M219" s="227"/>
      <c r="N219" s="227"/>
      <c r="O219" s="227">
        <f>+O220+O223</f>
        <v>143000</v>
      </c>
      <c r="P219" s="227"/>
      <c r="Q219" s="227">
        <f>+Q220+Q223</f>
        <v>643000</v>
      </c>
    </row>
    <row r="220" spans="1:17" s="3" customFormat="1" ht="21" customHeight="1" thickTop="1">
      <c r="A220" s="228"/>
      <c r="B220" s="152"/>
      <c r="C220" s="229"/>
      <c r="D220" s="230">
        <v>482100</v>
      </c>
      <c r="E220" s="231" t="s">
        <v>422</v>
      </c>
      <c r="F220" s="232">
        <f>+F221+F222</f>
        <v>640000</v>
      </c>
      <c r="G220" s="232"/>
      <c r="H220" s="232"/>
      <c r="I220" s="232">
        <f>+I221+I222</f>
        <v>140000</v>
      </c>
      <c r="J220" s="232"/>
      <c r="K220" s="232">
        <f>+K221+K222</f>
        <v>500000</v>
      </c>
      <c r="L220" s="232">
        <f>+O220+Q220</f>
        <v>640000</v>
      </c>
      <c r="M220" s="232"/>
      <c r="N220" s="232"/>
      <c r="O220" s="232">
        <f>+O221+O222</f>
        <v>140000</v>
      </c>
      <c r="P220" s="232"/>
      <c r="Q220" s="232">
        <f>+Q221+Q222</f>
        <v>500000</v>
      </c>
    </row>
    <row r="221" spans="1:17" s="3" customFormat="1" ht="19.5" customHeight="1" hidden="1">
      <c r="A221" s="162"/>
      <c r="B221" s="171"/>
      <c r="C221" s="200" t="s">
        <v>373</v>
      </c>
      <c r="D221" s="112">
        <v>482131</v>
      </c>
      <c r="E221" s="202" t="s">
        <v>374</v>
      </c>
      <c r="F221" s="28">
        <f aca="true" t="shared" si="14" ref="F221:F231">+G221+H221+I221+K221</f>
        <v>140000</v>
      </c>
      <c r="G221" s="59"/>
      <c r="H221" s="59"/>
      <c r="I221" s="59">
        <v>140000</v>
      </c>
      <c r="J221" s="59"/>
      <c r="K221" s="59"/>
      <c r="L221" s="28">
        <f>+M221+N221+O221+Q221</f>
        <v>140000</v>
      </c>
      <c r="M221" s="59"/>
      <c r="N221" s="59"/>
      <c r="O221" s="59">
        <v>140000</v>
      </c>
      <c r="P221" s="59"/>
      <c r="Q221" s="59"/>
    </row>
    <row r="222" spans="1:17" s="3" customFormat="1" ht="19.5" customHeight="1" hidden="1">
      <c r="A222" s="162"/>
      <c r="B222" s="171"/>
      <c r="C222" s="200" t="s">
        <v>375</v>
      </c>
      <c r="D222" s="112">
        <v>4821912</v>
      </c>
      <c r="E222" s="202" t="s">
        <v>376</v>
      </c>
      <c r="F222" s="28">
        <f t="shared" si="14"/>
        <v>500000</v>
      </c>
      <c r="G222" s="59"/>
      <c r="H222" s="59"/>
      <c r="I222" s="59"/>
      <c r="J222" s="59"/>
      <c r="K222" s="59">
        <v>500000</v>
      </c>
      <c r="L222" s="28">
        <f>+M222+N222+O222+Q222</f>
        <v>500000</v>
      </c>
      <c r="M222" s="59"/>
      <c r="N222" s="59"/>
      <c r="O222" s="59"/>
      <c r="P222" s="59"/>
      <c r="Q222" s="59">
        <v>500000</v>
      </c>
    </row>
    <row r="223" spans="1:17" s="3" customFormat="1" ht="27.75" customHeight="1" thickBot="1">
      <c r="A223" s="162"/>
      <c r="B223" s="171"/>
      <c r="C223" s="200"/>
      <c r="D223" s="233">
        <v>482200</v>
      </c>
      <c r="E223" s="234" t="s">
        <v>423</v>
      </c>
      <c r="F223" s="235">
        <f>+F224+F225+F226+F227</f>
        <v>146000</v>
      </c>
      <c r="G223" s="235"/>
      <c r="H223" s="235"/>
      <c r="I223" s="235">
        <f>+I224+I225+I226+I227</f>
        <v>3000</v>
      </c>
      <c r="J223" s="235"/>
      <c r="K223" s="235">
        <f>+K224+K225+K226+K227</f>
        <v>143000</v>
      </c>
      <c r="L223" s="235">
        <f>+O223+Q223</f>
        <v>146000</v>
      </c>
      <c r="M223" s="235"/>
      <c r="N223" s="235"/>
      <c r="O223" s="235">
        <f>+O224+O225+O226+O227</f>
        <v>3000</v>
      </c>
      <c r="P223" s="235"/>
      <c r="Q223" s="235">
        <f>+Q224+Q225+Q226+Q227</f>
        <v>143000</v>
      </c>
    </row>
    <row r="224" spans="1:17" s="3" customFormat="1" ht="19.5" customHeight="1" hidden="1">
      <c r="A224" s="124"/>
      <c r="B224" s="204"/>
      <c r="C224" s="236" t="s">
        <v>377</v>
      </c>
      <c r="D224" s="99">
        <v>482211</v>
      </c>
      <c r="E224" s="100" t="s">
        <v>378</v>
      </c>
      <c r="F224" s="19">
        <f t="shared" si="14"/>
        <v>47000</v>
      </c>
      <c r="G224" s="37"/>
      <c r="H224" s="37"/>
      <c r="I224" s="37">
        <v>2000</v>
      </c>
      <c r="J224" s="37"/>
      <c r="K224" s="37">
        <v>45000</v>
      </c>
      <c r="L224" s="19">
        <f aca="true" t="shared" si="15" ref="L224:L231">+M224+N224+O224+Q224</f>
        <v>47000</v>
      </c>
      <c r="M224" s="37"/>
      <c r="N224" s="37"/>
      <c r="O224" s="37">
        <v>2000</v>
      </c>
      <c r="P224" s="37"/>
      <c r="Q224" s="37">
        <v>45000</v>
      </c>
    </row>
    <row r="225" spans="1:17" s="3" customFormat="1" ht="19.5" customHeight="1" hidden="1">
      <c r="A225" s="124"/>
      <c r="B225" s="182"/>
      <c r="C225" s="236" t="s">
        <v>379</v>
      </c>
      <c r="D225" s="99">
        <v>482251</v>
      </c>
      <c r="E225" s="100" t="s">
        <v>380</v>
      </c>
      <c r="F225" s="19">
        <f t="shared" si="14"/>
        <v>93000</v>
      </c>
      <c r="G225" s="37"/>
      <c r="H225" s="37"/>
      <c r="I225" s="37"/>
      <c r="J225" s="37"/>
      <c r="K225" s="37">
        <v>93000</v>
      </c>
      <c r="L225" s="19">
        <f t="shared" si="15"/>
        <v>93000</v>
      </c>
      <c r="M225" s="37"/>
      <c r="N225" s="37"/>
      <c r="O225" s="37"/>
      <c r="P225" s="37"/>
      <c r="Q225" s="37">
        <v>93000</v>
      </c>
    </row>
    <row r="226" spans="1:17" s="3" customFormat="1" ht="19.5" customHeight="1" hidden="1">
      <c r="A226" s="118"/>
      <c r="B226" s="194"/>
      <c r="C226" s="236" t="s">
        <v>381</v>
      </c>
      <c r="D226" s="99">
        <v>482241</v>
      </c>
      <c r="E226" s="136" t="s">
        <v>382</v>
      </c>
      <c r="F226" s="19">
        <f t="shared" si="14"/>
        <v>1000</v>
      </c>
      <c r="G226" s="37"/>
      <c r="H226" s="37"/>
      <c r="I226" s="37">
        <v>1000</v>
      </c>
      <c r="J226" s="37"/>
      <c r="K226" s="37"/>
      <c r="L226" s="19">
        <f t="shared" si="15"/>
        <v>1000</v>
      </c>
      <c r="M226" s="37"/>
      <c r="N226" s="37"/>
      <c r="O226" s="37">
        <v>1000</v>
      </c>
      <c r="P226" s="37"/>
      <c r="Q226" s="37"/>
    </row>
    <row r="227" spans="1:17" s="3" customFormat="1" ht="19.5" customHeight="1" hidden="1" thickBot="1">
      <c r="A227" s="118"/>
      <c r="B227" s="194"/>
      <c r="C227" s="236" t="s">
        <v>383</v>
      </c>
      <c r="D227" s="214">
        <v>482311</v>
      </c>
      <c r="E227" s="237" t="s">
        <v>384</v>
      </c>
      <c r="F227" s="19">
        <f t="shared" si="14"/>
        <v>5000</v>
      </c>
      <c r="G227" s="47"/>
      <c r="H227" s="47"/>
      <c r="I227" s="47"/>
      <c r="J227" s="47"/>
      <c r="K227" s="47">
        <v>5000</v>
      </c>
      <c r="L227" s="19">
        <f t="shared" si="15"/>
        <v>5000</v>
      </c>
      <c r="M227" s="47"/>
      <c r="N227" s="47"/>
      <c r="O227" s="47"/>
      <c r="P227" s="47"/>
      <c r="Q227" s="47">
        <v>5000</v>
      </c>
    </row>
    <row r="228" spans="1:17" s="3" customFormat="1" ht="30" customHeight="1" thickBot="1" thickTop="1">
      <c r="A228" s="90" t="s">
        <v>125</v>
      </c>
      <c r="B228" s="115">
        <v>483100</v>
      </c>
      <c r="C228" s="213"/>
      <c r="D228" s="263" t="s">
        <v>126</v>
      </c>
      <c r="E228" s="264"/>
      <c r="F228" s="13">
        <f t="shared" si="14"/>
        <v>510000</v>
      </c>
      <c r="G228" s="43"/>
      <c r="H228" s="30"/>
      <c r="I228" s="30"/>
      <c r="J228" s="30"/>
      <c r="K228" s="30">
        <f>+K229+K230+K231</f>
        <v>510000</v>
      </c>
      <c r="L228" s="13">
        <f t="shared" si="15"/>
        <v>510000</v>
      </c>
      <c r="M228" s="43"/>
      <c r="N228" s="30"/>
      <c r="O228" s="30"/>
      <c r="P228" s="30"/>
      <c r="Q228" s="30">
        <f>+Q229+Q230+Q231</f>
        <v>510000</v>
      </c>
    </row>
    <row r="229" spans="1:17" s="3" customFormat="1" ht="24" customHeight="1" hidden="1" thickTop="1">
      <c r="A229" s="118"/>
      <c r="B229" s="194"/>
      <c r="C229" s="238" t="s">
        <v>385</v>
      </c>
      <c r="D229" s="111">
        <v>483111</v>
      </c>
      <c r="E229" s="239" t="s">
        <v>127</v>
      </c>
      <c r="F229" s="60">
        <f t="shared" si="14"/>
        <v>500000</v>
      </c>
      <c r="G229" s="61"/>
      <c r="H229" s="61"/>
      <c r="I229" s="61"/>
      <c r="J229" s="61"/>
      <c r="K229" s="61">
        <v>500000</v>
      </c>
      <c r="L229" s="60">
        <f t="shared" si="15"/>
        <v>500000</v>
      </c>
      <c r="M229" s="61"/>
      <c r="N229" s="61"/>
      <c r="O229" s="61"/>
      <c r="P229" s="61"/>
      <c r="Q229" s="61">
        <v>500000</v>
      </c>
    </row>
    <row r="230" spans="1:17" s="3" customFormat="1" ht="24" customHeight="1" hidden="1">
      <c r="A230" s="118"/>
      <c r="B230" s="194"/>
      <c r="C230" s="217" t="s">
        <v>386</v>
      </c>
      <c r="D230" s="99">
        <v>4831112</v>
      </c>
      <c r="E230" s="136" t="s">
        <v>387</v>
      </c>
      <c r="F230" s="19">
        <f t="shared" si="14"/>
        <v>10000</v>
      </c>
      <c r="G230" s="37"/>
      <c r="H230" s="37"/>
      <c r="I230" s="37"/>
      <c r="J230" s="37"/>
      <c r="K230" s="37">
        <v>10000</v>
      </c>
      <c r="L230" s="19">
        <f t="shared" si="15"/>
        <v>10000</v>
      </c>
      <c r="M230" s="37"/>
      <c r="N230" s="37"/>
      <c r="O230" s="37"/>
      <c r="P230" s="37"/>
      <c r="Q230" s="37">
        <v>10000</v>
      </c>
    </row>
    <row r="231" spans="1:17" s="3" customFormat="1" ht="24" customHeight="1" hidden="1" thickBot="1">
      <c r="A231" s="118"/>
      <c r="B231" s="194"/>
      <c r="C231" s="217" t="s">
        <v>388</v>
      </c>
      <c r="D231" s="106">
        <v>4831113</v>
      </c>
      <c r="E231" s="218" t="s">
        <v>389</v>
      </c>
      <c r="F231" s="28">
        <f t="shared" si="14"/>
        <v>0</v>
      </c>
      <c r="G231" s="59"/>
      <c r="H231" s="59"/>
      <c r="I231" s="59"/>
      <c r="J231" s="59"/>
      <c r="K231" s="59"/>
      <c r="L231" s="28">
        <f t="shared" si="15"/>
        <v>0</v>
      </c>
      <c r="M231" s="59"/>
      <c r="N231" s="59"/>
      <c r="O231" s="59"/>
      <c r="P231" s="59"/>
      <c r="Q231" s="59"/>
    </row>
    <row r="232" spans="1:17" s="3" customFormat="1" ht="36.75" customHeight="1" thickBot="1" thickTop="1">
      <c r="A232" s="117" t="s">
        <v>128</v>
      </c>
      <c r="B232" s="240" t="s">
        <v>129</v>
      </c>
      <c r="C232" s="241" t="s">
        <v>390</v>
      </c>
      <c r="D232" s="255" t="s">
        <v>130</v>
      </c>
      <c r="E232" s="255"/>
      <c r="F232" s="44">
        <f>+G232+H232+I232+K232+J232</f>
        <v>10135000</v>
      </c>
      <c r="G232" s="48"/>
      <c r="H232" s="44">
        <f>+H233+H234+H239</f>
        <v>10000000</v>
      </c>
      <c r="I232" s="44"/>
      <c r="J232" s="44"/>
      <c r="K232" s="44">
        <f>+K233+K234+K239</f>
        <v>135000</v>
      </c>
      <c r="L232" s="44">
        <f>+M232+N232+O232+Q232+P232</f>
        <v>10135000</v>
      </c>
      <c r="M232" s="48"/>
      <c r="N232" s="44">
        <f>+N233+N234+N239</f>
        <v>10000000</v>
      </c>
      <c r="O232" s="44"/>
      <c r="P232" s="44"/>
      <c r="Q232" s="44">
        <f>+Q233+Q234+Q239</f>
        <v>135000</v>
      </c>
    </row>
    <row r="233" spans="1:17" s="3" customFormat="1" ht="22.5" customHeight="1" thickTop="1">
      <c r="A233" s="131"/>
      <c r="B233" s="204"/>
      <c r="C233" s="85" t="s">
        <v>391</v>
      </c>
      <c r="D233" s="132">
        <v>511300</v>
      </c>
      <c r="E233" s="95" t="s">
        <v>131</v>
      </c>
      <c r="F233" s="16">
        <f>+G233+H233+I233+K233</f>
        <v>3782200</v>
      </c>
      <c r="G233" s="36"/>
      <c r="H233" s="16">
        <f>2908600+873600</f>
        <v>3782200</v>
      </c>
      <c r="I233" s="16"/>
      <c r="J233" s="16"/>
      <c r="K233" s="16"/>
      <c r="L233" s="16">
        <f>+M233+N233+O233+Q233</f>
        <v>3782200</v>
      </c>
      <c r="M233" s="36"/>
      <c r="N233" s="16">
        <f>2908600+873600</f>
        <v>3782200</v>
      </c>
      <c r="O233" s="16"/>
      <c r="P233" s="16"/>
      <c r="Q233" s="16"/>
    </row>
    <row r="234" spans="1:17" s="3" customFormat="1" ht="24" customHeight="1">
      <c r="A234" s="131"/>
      <c r="B234" s="204"/>
      <c r="C234" s="85" t="s">
        <v>392</v>
      </c>
      <c r="D234" s="132">
        <v>512200</v>
      </c>
      <c r="E234" s="95" t="s">
        <v>132</v>
      </c>
      <c r="F234" s="16">
        <f>+F235+F236+F238+F237</f>
        <v>2152800</v>
      </c>
      <c r="G234" s="16"/>
      <c r="H234" s="16">
        <f>+H235+H236+H238</f>
        <v>2017800</v>
      </c>
      <c r="I234" s="16"/>
      <c r="J234" s="16"/>
      <c r="K234" s="16">
        <f>+K235+K236+K238+K237</f>
        <v>135000</v>
      </c>
      <c r="L234" s="16">
        <f>+N234+Q234</f>
        <v>2152800</v>
      </c>
      <c r="M234" s="16"/>
      <c r="N234" s="16">
        <f>+N235+N236+N238</f>
        <v>2017800</v>
      </c>
      <c r="O234" s="16"/>
      <c r="P234" s="16"/>
      <c r="Q234" s="16">
        <f>+Q235+Q236+Q238+Q237</f>
        <v>135000</v>
      </c>
    </row>
    <row r="235" spans="1:17" s="3" customFormat="1" ht="18" customHeight="1" hidden="1">
      <c r="A235" s="124"/>
      <c r="B235" s="182"/>
      <c r="C235" s="86"/>
      <c r="D235" s="99">
        <v>512211</v>
      </c>
      <c r="E235" s="242" t="s">
        <v>273</v>
      </c>
      <c r="F235" s="19">
        <f>+G235+H235+I235+K235</f>
        <v>1000000</v>
      </c>
      <c r="G235" s="39"/>
      <c r="H235" s="19">
        <v>1000000</v>
      </c>
      <c r="I235" s="19"/>
      <c r="J235" s="19"/>
      <c r="K235" s="19"/>
      <c r="L235" s="19">
        <f>+M235+N235+O235+Q235</f>
        <v>1000000</v>
      </c>
      <c r="M235" s="39"/>
      <c r="N235" s="19">
        <v>1000000</v>
      </c>
      <c r="O235" s="19"/>
      <c r="P235" s="19"/>
      <c r="Q235" s="19"/>
    </row>
    <row r="236" spans="1:17" s="3" customFormat="1" ht="18" customHeight="1" hidden="1">
      <c r="A236" s="124"/>
      <c r="B236" s="182"/>
      <c r="C236" s="86"/>
      <c r="D236" s="99">
        <v>512221</v>
      </c>
      <c r="E236" s="100" t="s">
        <v>275</v>
      </c>
      <c r="F236" s="19">
        <f>+G236+H236+I236+K236</f>
        <v>617800</v>
      </c>
      <c r="G236" s="39"/>
      <c r="H236" s="19">
        <v>517800</v>
      </c>
      <c r="I236" s="19"/>
      <c r="J236" s="19"/>
      <c r="K236" s="19">
        <v>100000</v>
      </c>
      <c r="L236" s="19">
        <f>+M236+N236+O236+Q236</f>
        <v>617800</v>
      </c>
      <c r="M236" s="39"/>
      <c r="N236" s="19">
        <v>517800</v>
      </c>
      <c r="O236" s="19"/>
      <c r="P236" s="19"/>
      <c r="Q236" s="19">
        <v>100000</v>
      </c>
    </row>
    <row r="237" spans="1:17" s="3" customFormat="1" ht="18" customHeight="1" hidden="1">
      <c r="A237" s="124"/>
      <c r="B237" s="182"/>
      <c r="C237" s="86"/>
      <c r="D237" s="99">
        <v>512241</v>
      </c>
      <c r="E237" s="100" t="s">
        <v>421</v>
      </c>
      <c r="F237" s="19">
        <f>+K237</f>
        <v>25000</v>
      </c>
      <c r="G237" s="39"/>
      <c r="H237" s="19"/>
      <c r="I237" s="19"/>
      <c r="J237" s="19"/>
      <c r="K237" s="19">
        <v>25000</v>
      </c>
      <c r="L237" s="19">
        <f>+Q237</f>
        <v>25000</v>
      </c>
      <c r="M237" s="39"/>
      <c r="N237" s="19"/>
      <c r="O237" s="19"/>
      <c r="P237" s="19"/>
      <c r="Q237" s="19">
        <v>25000</v>
      </c>
    </row>
    <row r="238" spans="1:17" s="3" customFormat="1" ht="18" customHeight="1" hidden="1">
      <c r="A238" s="124"/>
      <c r="B238" s="182"/>
      <c r="C238" s="86"/>
      <c r="D238" s="99">
        <v>512251</v>
      </c>
      <c r="E238" s="145" t="s">
        <v>395</v>
      </c>
      <c r="F238" s="19">
        <f>+G238+H238+I238+K238</f>
        <v>510000</v>
      </c>
      <c r="G238" s="39"/>
      <c r="H238" s="19">
        <v>500000</v>
      </c>
      <c r="I238" s="19"/>
      <c r="J238" s="19"/>
      <c r="K238" s="19">
        <v>10000</v>
      </c>
      <c r="L238" s="19">
        <f>+M238+N238+O238+Q238</f>
        <v>510000</v>
      </c>
      <c r="M238" s="39"/>
      <c r="N238" s="19">
        <v>500000</v>
      </c>
      <c r="O238" s="19"/>
      <c r="P238" s="19"/>
      <c r="Q238" s="19">
        <v>10000</v>
      </c>
    </row>
    <row r="239" spans="1:17" s="3" customFormat="1" ht="24.75" customHeight="1">
      <c r="A239" s="124"/>
      <c r="B239" s="182"/>
      <c r="C239" s="85" t="s">
        <v>393</v>
      </c>
      <c r="D239" s="101">
        <v>512500</v>
      </c>
      <c r="E239" s="141" t="s">
        <v>413</v>
      </c>
      <c r="F239" s="20">
        <f>+F240+F241</f>
        <v>4200000</v>
      </c>
      <c r="G239" s="20"/>
      <c r="H239" s="20">
        <f>+H240+H241</f>
        <v>4200000</v>
      </c>
      <c r="I239" s="20"/>
      <c r="J239" s="20"/>
      <c r="K239" s="20"/>
      <c r="L239" s="20">
        <f>+N239</f>
        <v>4200000</v>
      </c>
      <c r="M239" s="20"/>
      <c r="N239" s="20">
        <f>+N240+N241</f>
        <v>4200000</v>
      </c>
      <c r="O239" s="20"/>
      <c r="P239" s="20"/>
      <c r="Q239" s="20"/>
    </row>
    <row r="240" spans="1:17" s="3" customFormat="1" ht="24" customHeight="1" hidden="1">
      <c r="A240" s="124"/>
      <c r="B240" s="182"/>
      <c r="C240" s="86"/>
      <c r="D240" s="243">
        <v>512511</v>
      </c>
      <c r="E240" s="100" t="s">
        <v>133</v>
      </c>
      <c r="F240" s="19">
        <f>+G240+H240+I240+K240</f>
        <v>4000000</v>
      </c>
      <c r="G240" s="39"/>
      <c r="H240" s="19">
        <v>4000000</v>
      </c>
      <c r="I240" s="19"/>
      <c r="J240" s="19"/>
      <c r="K240" s="19"/>
      <c r="L240" s="19">
        <f>+M240+N240+O240+Q240</f>
        <v>4000000</v>
      </c>
      <c r="M240" s="39"/>
      <c r="N240" s="19">
        <v>4000000</v>
      </c>
      <c r="O240" s="19"/>
      <c r="P240" s="19"/>
      <c r="Q240" s="19"/>
    </row>
    <row r="241" spans="1:17" s="3" customFormat="1" ht="24" customHeight="1" hidden="1">
      <c r="A241" s="124"/>
      <c r="B241" s="182"/>
      <c r="C241" s="86"/>
      <c r="D241" s="99">
        <v>512531</v>
      </c>
      <c r="E241" s="145" t="s">
        <v>394</v>
      </c>
      <c r="F241" s="19">
        <f>+G241+H241+I241+K241</f>
        <v>200000</v>
      </c>
      <c r="G241" s="39"/>
      <c r="H241" s="19">
        <v>200000</v>
      </c>
      <c r="I241" s="19"/>
      <c r="J241" s="19"/>
      <c r="K241" s="19"/>
      <c r="L241" s="19">
        <f>+M241+N241+O241+Q241</f>
        <v>200000</v>
      </c>
      <c r="M241" s="39"/>
      <c r="N241" s="19">
        <v>200000</v>
      </c>
      <c r="O241" s="19"/>
      <c r="P241" s="19"/>
      <c r="Q241" s="19"/>
    </row>
    <row r="242" spans="1:17" s="49" customFormat="1" ht="24.75" customHeight="1">
      <c r="A242" s="256" t="s">
        <v>134</v>
      </c>
      <c r="B242" s="256"/>
      <c r="C242" s="256"/>
      <c r="D242" s="256"/>
      <c r="E242" s="256"/>
      <c r="F242" s="20">
        <f>+F232+F228+F212+F219+F66+F40+F215+F217</f>
        <v>716627384.9499999</v>
      </c>
      <c r="G242" s="20">
        <f>+G232+G228+G212+G219+G66+G40</f>
        <v>1512</v>
      </c>
      <c r="H242" s="20">
        <f>+H232+H228+H212+H219+H66+H40</f>
        <v>11642804</v>
      </c>
      <c r="I242" s="20">
        <f>+I232+I228+I212+I219+I66+I40+I215+I217</f>
        <v>685028569.3399999</v>
      </c>
      <c r="J242" s="20"/>
      <c r="K242" s="20">
        <f>+K232+K228+K212+K219+K66+K40+K215+K218</f>
        <v>19954499.61</v>
      </c>
      <c r="L242" s="20">
        <f>+M242+N242+O242+Q242</f>
        <v>716627384.9499999</v>
      </c>
      <c r="M242" s="20">
        <f>+M232+M228+M212+M219+M66+M40</f>
        <v>1512</v>
      </c>
      <c r="N242" s="20">
        <f>+N232+N228+N212+N219+N66+N40</f>
        <v>11642804</v>
      </c>
      <c r="O242" s="20">
        <f>+O232+O228+O212+O219+O66+O40+O215+O217</f>
        <v>685028569.3399999</v>
      </c>
      <c r="P242" s="20"/>
      <c r="Q242" s="20">
        <f>+Q232+Q228+Q212+Q219+Q66+Q40+Q215+Q218</f>
        <v>19954499.61</v>
      </c>
    </row>
    <row r="243" spans="1:14" s="49" customFormat="1" ht="24.75" customHeight="1">
      <c r="A243" s="32"/>
      <c r="B243" s="32"/>
      <c r="C243" s="32"/>
      <c r="D243" s="32"/>
      <c r="E243" s="32"/>
      <c r="F243" s="66"/>
      <c r="G243" s="66"/>
      <c r="H243" s="66"/>
      <c r="I243" s="66"/>
      <c r="J243" s="66"/>
      <c r="K243" s="66"/>
      <c r="L243" s="66"/>
      <c r="M243" s="3"/>
      <c r="N243" s="73"/>
    </row>
    <row r="244" spans="1:14" s="49" customFormat="1" ht="24.75" customHeight="1">
      <c r="A244" s="32"/>
      <c r="B244" s="32"/>
      <c r="C244" s="32"/>
      <c r="D244" s="32"/>
      <c r="E244" s="32"/>
      <c r="F244" s="66"/>
      <c r="G244" s="66"/>
      <c r="H244" s="66"/>
      <c r="I244" s="66"/>
      <c r="J244" s="66"/>
      <c r="K244" s="66"/>
      <c r="L244" s="66"/>
      <c r="M244" s="3"/>
      <c r="N244" s="73"/>
    </row>
    <row r="245" spans="1:14" s="49" customFormat="1" ht="24.75" customHeight="1">
      <c r="A245" s="32"/>
      <c r="B245" s="32"/>
      <c r="C245" s="32"/>
      <c r="D245" s="32"/>
      <c r="E245" s="32"/>
      <c r="F245" s="66"/>
      <c r="G245" s="66"/>
      <c r="H245" s="66"/>
      <c r="I245" s="66"/>
      <c r="J245" s="66"/>
      <c r="K245" s="66"/>
      <c r="L245" s="66"/>
      <c r="M245" s="3"/>
      <c r="N245" s="73"/>
    </row>
    <row r="246" spans="1:14" s="49" customFormat="1" ht="15.75" customHeight="1">
      <c r="A246" s="32"/>
      <c r="B246" s="32"/>
      <c r="C246" s="32"/>
      <c r="D246" s="32"/>
      <c r="E246" s="32"/>
      <c r="F246" s="50"/>
      <c r="H246" s="3"/>
      <c r="M246" s="3"/>
      <c r="N246" s="3"/>
    </row>
    <row r="247" spans="1:14" s="49" customFormat="1" ht="15" customHeight="1">
      <c r="A247" s="78" t="s">
        <v>135</v>
      </c>
      <c r="B247" s="78"/>
      <c r="C247" s="78"/>
      <c r="D247" s="78"/>
      <c r="E247" s="79"/>
      <c r="F247" s="80"/>
      <c r="G247" s="80"/>
      <c r="H247" s="81"/>
      <c r="I247" s="80"/>
      <c r="J247" s="80"/>
      <c r="K247" s="80"/>
      <c r="L247" s="257" t="s">
        <v>396</v>
      </c>
      <c r="M247" s="257"/>
      <c r="N247" s="257"/>
    </row>
    <row r="248" spans="1:14" s="49" customFormat="1" ht="1.5" customHeight="1">
      <c r="A248" s="78"/>
      <c r="B248" s="78"/>
      <c r="C248" s="78"/>
      <c r="D248" s="78"/>
      <c r="E248" s="79"/>
      <c r="F248" s="81"/>
      <c r="G248" s="80"/>
      <c r="H248" s="81"/>
      <c r="I248" s="80"/>
      <c r="J248" s="80"/>
      <c r="K248" s="80"/>
      <c r="M248" s="3"/>
      <c r="N248" s="3"/>
    </row>
    <row r="249" spans="1:15" s="49" customFormat="1" ht="24.75" customHeight="1">
      <c r="A249" s="82" t="s">
        <v>136</v>
      </c>
      <c r="B249" s="78"/>
      <c r="C249" s="78"/>
      <c r="D249" s="78"/>
      <c r="F249" s="80"/>
      <c r="G249" s="80"/>
      <c r="H249" s="80"/>
      <c r="I249" s="80"/>
      <c r="J249" s="80"/>
      <c r="K249" s="80"/>
      <c r="L249" s="78" t="s">
        <v>136</v>
      </c>
      <c r="M249" s="75"/>
      <c r="N249" s="75"/>
      <c r="O249" s="75"/>
    </row>
    <row r="250" spans="1:14" s="49" customFormat="1" ht="14.25">
      <c r="A250" s="78" t="s">
        <v>137</v>
      </c>
      <c r="B250" s="78"/>
      <c r="C250" s="78"/>
      <c r="D250" s="78"/>
      <c r="F250" s="80"/>
      <c r="G250" s="80"/>
      <c r="H250" s="81"/>
      <c r="I250" s="80"/>
      <c r="J250" s="80"/>
      <c r="K250" s="80"/>
      <c r="L250" s="80" t="s">
        <v>139</v>
      </c>
      <c r="M250" s="3"/>
      <c r="N250" s="3"/>
    </row>
    <row r="251" spans="1:14" s="49" customFormat="1" ht="14.25">
      <c r="A251" s="78" t="s">
        <v>138</v>
      </c>
      <c r="B251" s="78"/>
      <c r="C251" s="78"/>
      <c r="D251" s="78"/>
      <c r="E251" s="79"/>
      <c r="F251" s="80"/>
      <c r="G251" s="80"/>
      <c r="H251" s="81"/>
      <c r="I251" s="80"/>
      <c r="J251" s="80"/>
      <c r="K251" s="80"/>
      <c r="M251" s="3"/>
      <c r="N251" s="3"/>
    </row>
    <row r="252" spans="1:14" s="49" customFormat="1" ht="10.5" customHeight="1">
      <c r="A252" s="78"/>
      <c r="B252" s="78"/>
      <c r="C252" s="78"/>
      <c r="D252" s="78"/>
      <c r="E252" s="79"/>
      <c r="F252" s="80"/>
      <c r="G252" s="80"/>
      <c r="H252" s="81"/>
      <c r="I252" s="80"/>
      <c r="J252" s="80"/>
      <c r="K252" s="80"/>
      <c r="M252" s="3"/>
      <c r="N252" s="3"/>
    </row>
    <row r="253" spans="1:14" s="49" customFormat="1" ht="10.5" customHeight="1">
      <c r="A253" s="78"/>
      <c r="B253" s="78"/>
      <c r="C253" s="78"/>
      <c r="D253" s="78"/>
      <c r="E253" s="79"/>
      <c r="F253" s="80"/>
      <c r="G253" s="80"/>
      <c r="H253" s="81"/>
      <c r="I253" s="80"/>
      <c r="J253" s="80"/>
      <c r="K253" s="80"/>
      <c r="M253" s="3"/>
      <c r="N253" s="3"/>
    </row>
    <row r="254" spans="1:14" s="49" customFormat="1" ht="14.25">
      <c r="A254" s="78"/>
      <c r="B254" s="78"/>
      <c r="C254" s="78"/>
      <c r="D254" s="78"/>
      <c r="E254" s="79"/>
      <c r="F254" s="83"/>
      <c r="G254" s="80"/>
      <c r="H254" s="81"/>
      <c r="L254" s="74"/>
      <c r="M254" s="3"/>
      <c r="N254" s="3"/>
    </row>
    <row r="255" spans="1:14" s="49" customFormat="1" ht="15" customHeight="1">
      <c r="A255" s="78"/>
      <c r="B255" s="78"/>
      <c r="C255" s="78"/>
      <c r="D255" s="78"/>
      <c r="E255" s="79"/>
      <c r="F255" s="80"/>
      <c r="G255" s="80"/>
      <c r="H255" s="81"/>
      <c r="I255" s="80"/>
      <c r="J255" s="80"/>
      <c r="K255" s="80"/>
      <c r="M255" s="3"/>
      <c r="N255" s="3"/>
    </row>
    <row r="256" spans="1:14" s="49" customFormat="1" ht="15" customHeight="1">
      <c r="A256" s="78"/>
      <c r="B256" s="78"/>
      <c r="C256" s="78"/>
      <c r="D256" s="78"/>
      <c r="E256" s="79"/>
      <c r="F256" s="80"/>
      <c r="G256" s="80"/>
      <c r="H256" s="81"/>
      <c r="J256" s="80"/>
      <c r="K256" s="81"/>
      <c r="L256" s="3"/>
      <c r="M256" s="3"/>
      <c r="N256" s="3"/>
    </row>
    <row r="257" spans="1:14" s="49" customFormat="1" ht="15" customHeight="1">
      <c r="A257" s="78"/>
      <c r="B257" s="78"/>
      <c r="C257" s="78"/>
      <c r="D257" s="78"/>
      <c r="E257" s="79"/>
      <c r="F257" s="80"/>
      <c r="G257" s="80"/>
      <c r="H257" s="81"/>
      <c r="J257" s="80"/>
      <c r="K257" s="81"/>
      <c r="L257" s="3"/>
      <c r="M257" s="3"/>
      <c r="N257" s="3"/>
    </row>
    <row r="258" spans="1:14" s="49" customFormat="1" ht="15" customHeight="1">
      <c r="A258" s="78"/>
      <c r="B258" s="78"/>
      <c r="C258" s="78"/>
      <c r="D258" s="78"/>
      <c r="E258" s="79"/>
      <c r="F258" s="80"/>
      <c r="G258" s="80"/>
      <c r="H258" s="81"/>
      <c r="J258" s="80"/>
      <c r="K258" s="81"/>
      <c r="L258" s="3"/>
      <c r="M258" s="3"/>
      <c r="N258" s="3"/>
    </row>
    <row r="259" spans="1:14" s="49" customFormat="1" ht="15" customHeight="1">
      <c r="A259" s="78"/>
      <c r="B259" s="78"/>
      <c r="C259" s="78"/>
      <c r="D259" s="78"/>
      <c r="E259" s="79"/>
      <c r="F259" s="80"/>
      <c r="G259" s="80"/>
      <c r="H259" s="81"/>
      <c r="J259" s="80"/>
      <c r="K259" s="81"/>
      <c r="L259" s="3"/>
      <c r="M259" s="3"/>
      <c r="N259" s="3"/>
    </row>
    <row r="260" spans="1:14" s="49" customFormat="1" ht="15" customHeight="1">
      <c r="A260" s="78"/>
      <c r="B260" s="78"/>
      <c r="C260" s="78"/>
      <c r="D260" s="78"/>
      <c r="E260" s="79"/>
      <c r="F260" s="80"/>
      <c r="G260" s="80"/>
      <c r="H260" s="81"/>
      <c r="J260" s="80"/>
      <c r="K260" s="81"/>
      <c r="L260" s="3"/>
      <c r="M260" s="3"/>
      <c r="N260" s="3"/>
    </row>
    <row r="261" spans="1:14" s="49" customFormat="1" ht="15" customHeight="1">
      <c r="A261" s="78"/>
      <c r="B261" s="78"/>
      <c r="C261" s="78"/>
      <c r="D261" s="78"/>
      <c r="E261" s="79"/>
      <c r="F261" s="80"/>
      <c r="G261" s="80"/>
      <c r="H261" s="81"/>
      <c r="J261" s="80"/>
      <c r="K261" s="81"/>
      <c r="L261" s="3"/>
      <c r="M261" s="3"/>
      <c r="N261" s="3"/>
    </row>
    <row r="262" spans="1:14" s="49" customFormat="1" ht="15" customHeight="1">
      <c r="A262" s="78"/>
      <c r="B262" s="78"/>
      <c r="C262" s="78"/>
      <c r="D262" s="78"/>
      <c r="E262" s="79"/>
      <c r="F262" s="80"/>
      <c r="G262" s="80"/>
      <c r="H262" s="81"/>
      <c r="J262" s="80"/>
      <c r="K262" s="81"/>
      <c r="L262" s="3"/>
      <c r="M262" s="3"/>
      <c r="N262" s="3"/>
    </row>
    <row r="263" spans="1:14" s="49" customFormat="1" ht="15" customHeight="1">
      <c r="A263" s="78"/>
      <c r="B263" s="78"/>
      <c r="C263" s="78"/>
      <c r="D263" s="78"/>
      <c r="E263" s="79"/>
      <c r="F263" s="80"/>
      <c r="G263" s="80"/>
      <c r="H263" s="81"/>
      <c r="J263" s="80"/>
      <c r="K263" s="81"/>
      <c r="L263" s="3"/>
      <c r="M263" s="3"/>
      <c r="N263" s="3"/>
    </row>
    <row r="264" spans="1:14" s="49" customFormat="1" ht="15" customHeight="1">
      <c r="A264" s="78"/>
      <c r="B264" s="78"/>
      <c r="C264" s="78"/>
      <c r="D264" s="78"/>
      <c r="E264" s="79"/>
      <c r="F264" s="80"/>
      <c r="G264" s="80"/>
      <c r="H264" s="81"/>
      <c r="J264" s="80"/>
      <c r="K264" s="81"/>
      <c r="L264" s="3"/>
      <c r="M264" s="3"/>
      <c r="N264" s="3"/>
    </row>
    <row r="265" spans="1:14" s="49" customFormat="1" ht="15" customHeight="1">
      <c r="A265" s="78"/>
      <c r="B265" s="78"/>
      <c r="C265" s="78"/>
      <c r="D265" s="78"/>
      <c r="E265" s="79"/>
      <c r="F265" s="80"/>
      <c r="G265" s="80"/>
      <c r="H265" s="81"/>
      <c r="J265" s="80"/>
      <c r="K265" s="81"/>
      <c r="L265" s="3"/>
      <c r="M265" s="3"/>
      <c r="N265" s="3"/>
    </row>
    <row r="266" spans="1:14" s="49" customFormat="1" ht="15" customHeight="1">
      <c r="A266" s="78"/>
      <c r="B266" s="78"/>
      <c r="C266" s="78"/>
      <c r="D266" s="78"/>
      <c r="E266" s="79"/>
      <c r="F266" s="80"/>
      <c r="G266" s="80"/>
      <c r="H266" s="81"/>
      <c r="J266" s="80"/>
      <c r="K266" s="81"/>
      <c r="L266" s="3"/>
      <c r="M266" s="3"/>
      <c r="N266" s="3"/>
    </row>
    <row r="267" spans="1:14" s="49" customFormat="1" ht="15" customHeight="1">
      <c r="A267" s="78"/>
      <c r="B267" s="78"/>
      <c r="C267" s="78"/>
      <c r="D267" s="78"/>
      <c r="E267" s="79"/>
      <c r="F267" s="80"/>
      <c r="G267" s="80"/>
      <c r="H267" s="81"/>
      <c r="J267" s="80"/>
      <c r="K267" s="81"/>
      <c r="L267" s="3"/>
      <c r="M267" s="3"/>
      <c r="N267" s="3"/>
    </row>
    <row r="268" spans="1:14" s="49" customFormat="1" ht="15" customHeight="1">
      <c r="A268" s="78"/>
      <c r="B268" s="78"/>
      <c r="C268" s="78"/>
      <c r="D268" s="78"/>
      <c r="E268" s="79"/>
      <c r="F268" s="80"/>
      <c r="G268" s="80"/>
      <c r="H268" s="81"/>
      <c r="J268" s="80"/>
      <c r="K268" s="81"/>
      <c r="L268" s="3"/>
      <c r="M268" s="3"/>
      <c r="N268" s="3"/>
    </row>
    <row r="269" spans="1:14" s="49" customFormat="1" ht="15" customHeight="1">
      <c r="A269" s="78"/>
      <c r="B269" s="78"/>
      <c r="C269" s="78"/>
      <c r="D269" s="78"/>
      <c r="E269" s="79"/>
      <c r="F269" s="80"/>
      <c r="G269" s="80"/>
      <c r="H269" s="81"/>
      <c r="J269" s="80"/>
      <c r="K269" s="81"/>
      <c r="L269" s="3"/>
      <c r="M269" s="3"/>
      <c r="N269" s="3"/>
    </row>
    <row r="270" spans="1:14" s="49" customFormat="1" ht="15" customHeight="1">
      <c r="A270" s="78"/>
      <c r="B270" s="78"/>
      <c r="C270" s="78"/>
      <c r="D270" s="78"/>
      <c r="E270" s="79"/>
      <c r="F270" s="80"/>
      <c r="G270" s="80"/>
      <c r="H270" s="81"/>
      <c r="J270" s="80"/>
      <c r="K270" s="81"/>
      <c r="L270" s="3"/>
      <c r="M270" s="3"/>
      <c r="N270" s="3"/>
    </row>
    <row r="271" spans="1:14" s="49" customFormat="1" ht="15" customHeight="1">
      <c r="A271" s="78"/>
      <c r="B271" s="78"/>
      <c r="C271" s="78"/>
      <c r="D271" s="78"/>
      <c r="E271" s="79"/>
      <c r="F271" s="80"/>
      <c r="G271" s="80"/>
      <c r="H271" s="81"/>
      <c r="J271" s="80"/>
      <c r="K271" s="81"/>
      <c r="L271" s="3"/>
      <c r="M271" s="3"/>
      <c r="N271" s="3"/>
    </row>
    <row r="272" spans="1:14" s="49" customFormat="1" ht="15" customHeight="1">
      <c r="A272" s="78"/>
      <c r="B272" s="78"/>
      <c r="C272" s="78"/>
      <c r="D272" s="78"/>
      <c r="E272" s="79"/>
      <c r="F272" s="80"/>
      <c r="G272" s="80"/>
      <c r="H272" s="81"/>
      <c r="J272" s="80"/>
      <c r="K272" s="81"/>
      <c r="L272" s="3"/>
      <c r="M272" s="3"/>
      <c r="N272" s="3"/>
    </row>
    <row r="273" spans="1:14" s="49" customFormat="1" ht="15" customHeight="1">
      <c r="A273" s="78"/>
      <c r="B273" s="78"/>
      <c r="C273" s="78"/>
      <c r="D273" s="78"/>
      <c r="E273" s="79"/>
      <c r="F273" s="80"/>
      <c r="G273" s="80"/>
      <c r="H273" s="81"/>
      <c r="J273" s="80"/>
      <c r="K273" s="81"/>
      <c r="L273" s="3"/>
      <c r="M273" s="3"/>
      <c r="N273" s="3"/>
    </row>
    <row r="274" spans="1:14" s="49" customFormat="1" ht="15" customHeight="1">
      <c r="A274" s="78"/>
      <c r="B274" s="78"/>
      <c r="C274" s="78"/>
      <c r="D274" s="78"/>
      <c r="E274" s="79"/>
      <c r="F274" s="80"/>
      <c r="G274" s="80"/>
      <c r="H274" s="81"/>
      <c r="J274" s="80"/>
      <c r="K274" s="81"/>
      <c r="L274" s="3"/>
      <c r="M274" s="3"/>
      <c r="N274" s="3"/>
    </row>
    <row r="275" spans="1:14" s="49" customFormat="1" ht="15" customHeight="1">
      <c r="A275" s="78"/>
      <c r="B275" s="78"/>
      <c r="C275" s="78"/>
      <c r="D275" s="78"/>
      <c r="E275" s="79"/>
      <c r="F275" s="80"/>
      <c r="G275" s="80"/>
      <c r="H275" s="81"/>
      <c r="J275" s="80"/>
      <c r="K275" s="81"/>
      <c r="L275" s="3"/>
      <c r="M275" s="3"/>
      <c r="N275" s="3"/>
    </row>
    <row r="276" spans="1:14" s="49" customFormat="1" ht="15" customHeight="1">
      <c r="A276" s="78"/>
      <c r="B276" s="78"/>
      <c r="C276" s="78"/>
      <c r="D276" s="78"/>
      <c r="E276" s="79"/>
      <c r="F276" s="80"/>
      <c r="G276" s="80"/>
      <c r="H276" s="81"/>
      <c r="J276" s="80"/>
      <c r="K276" s="81"/>
      <c r="L276" s="3"/>
      <c r="M276" s="3"/>
      <c r="N276" s="3"/>
    </row>
    <row r="277" spans="1:14" s="49" customFormat="1" ht="15" customHeight="1">
      <c r="A277" s="78"/>
      <c r="B277" s="78"/>
      <c r="C277" s="78"/>
      <c r="D277" s="78"/>
      <c r="E277" s="79"/>
      <c r="F277" s="80"/>
      <c r="G277" s="80"/>
      <c r="H277" s="81"/>
      <c r="J277" s="80"/>
      <c r="K277" s="81"/>
      <c r="L277" s="3"/>
      <c r="M277" s="3"/>
      <c r="N277" s="3"/>
    </row>
    <row r="278" spans="1:14" s="49" customFormat="1" ht="15" customHeight="1">
      <c r="A278" s="78"/>
      <c r="B278" s="78"/>
      <c r="C278" s="78"/>
      <c r="D278" s="78"/>
      <c r="E278" s="79"/>
      <c r="F278" s="80"/>
      <c r="G278" s="80"/>
      <c r="H278" s="81"/>
      <c r="J278" s="80"/>
      <c r="K278" s="81"/>
      <c r="L278" s="3"/>
      <c r="M278" s="3"/>
      <c r="N278" s="3"/>
    </row>
    <row r="279" spans="1:14" s="49" customFormat="1" ht="15" customHeight="1">
      <c r="A279" s="78"/>
      <c r="B279" s="78"/>
      <c r="C279" s="78"/>
      <c r="D279" s="78"/>
      <c r="E279" s="79"/>
      <c r="F279" s="80"/>
      <c r="G279" s="80"/>
      <c r="H279" s="81"/>
      <c r="J279" s="80"/>
      <c r="K279" s="81"/>
      <c r="L279" s="3"/>
      <c r="M279" s="3"/>
      <c r="N279" s="3"/>
    </row>
    <row r="280" spans="1:14" s="49" customFormat="1" ht="15" customHeight="1">
      <c r="A280" s="78"/>
      <c r="B280" s="78"/>
      <c r="C280" s="78"/>
      <c r="D280" s="78"/>
      <c r="E280" s="79"/>
      <c r="F280" s="80"/>
      <c r="G280" s="80"/>
      <c r="H280" s="81"/>
      <c r="J280" s="80"/>
      <c r="K280" s="81"/>
      <c r="L280" s="3"/>
      <c r="M280" s="3"/>
      <c r="N280" s="3"/>
    </row>
    <row r="281" spans="1:14" s="49" customFormat="1" ht="15" customHeight="1">
      <c r="A281" s="78"/>
      <c r="B281" s="78"/>
      <c r="C281" s="78"/>
      <c r="D281" s="78"/>
      <c r="E281" s="79"/>
      <c r="F281" s="80"/>
      <c r="G281" s="80"/>
      <c r="H281" s="81"/>
      <c r="J281" s="80"/>
      <c r="K281" s="81"/>
      <c r="L281" s="3"/>
      <c r="M281" s="3"/>
      <c r="N281" s="3"/>
    </row>
    <row r="282" spans="1:14" s="49" customFormat="1" ht="15" customHeight="1">
      <c r="A282" s="78"/>
      <c r="B282" s="78"/>
      <c r="C282" s="78"/>
      <c r="D282" s="78"/>
      <c r="E282" s="79"/>
      <c r="F282" s="80"/>
      <c r="G282" s="80"/>
      <c r="H282" s="81"/>
      <c r="J282" s="80"/>
      <c r="K282" s="81"/>
      <c r="L282" s="3"/>
      <c r="M282" s="3"/>
      <c r="N282" s="3"/>
    </row>
    <row r="283" spans="1:14" s="49" customFormat="1" ht="15" customHeight="1">
      <c r="A283" s="78"/>
      <c r="B283" s="78"/>
      <c r="C283" s="78"/>
      <c r="D283" s="78"/>
      <c r="E283" s="79"/>
      <c r="F283" s="80"/>
      <c r="G283" s="80"/>
      <c r="H283" s="81"/>
      <c r="J283" s="80"/>
      <c r="K283" s="81"/>
      <c r="L283" s="3"/>
      <c r="M283" s="3"/>
      <c r="N283" s="3"/>
    </row>
    <row r="284" spans="1:14" s="49" customFormat="1" ht="15" customHeight="1">
      <c r="A284" s="78"/>
      <c r="B284" s="78"/>
      <c r="C284" s="78"/>
      <c r="D284" s="78"/>
      <c r="E284" s="79"/>
      <c r="F284" s="80"/>
      <c r="G284" s="80"/>
      <c r="H284" s="81"/>
      <c r="J284" s="80"/>
      <c r="K284" s="81"/>
      <c r="L284" s="3"/>
      <c r="M284" s="3"/>
      <c r="N284" s="3"/>
    </row>
    <row r="285" spans="1:14" s="49" customFormat="1" ht="15" customHeight="1">
      <c r="A285" s="78"/>
      <c r="B285" s="78"/>
      <c r="C285" s="78"/>
      <c r="D285" s="78"/>
      <c r="E285" s="79"/>
      <c r="F285" s="80"/>
      <c r="G285" s="80"/>
      <c r="H285" s="81"/>
      <c r="J285" s="80"/>
      <c r="K285" s="81"/>
      <c r="L285" s="3"/>
      <c r="M285" s="3"/>
      <c r="N285" s="3"/>
    </row>
    <row r="286" spans="1:14" s="49" customFormat="1" ht="15" customHeight="1">
      <c r="A286" s="78"/>
      <c r="B286" s="78"/>
      <c r="C286" s="78"/>
      <c r="D286" s="78"/>
      <c r="E286" s="79"/>
      <c r="F286" s="80"/>
      <c r="G286" s="80"/>
      <c r="H286" s="81"/>
      <c r="J286" s="80"/>
      <c r="K286" s="81"/>
      <c r="L286" s="3"/>
      <c r="M286" s="3"/>
      <c r="N286" s="3"/>
    </row>
    <row r="287" spans="1:14" s="49" customFormat="1" ht="15" customHeight="1">
      <c r="A287" s="78"/>
      <c r="B287" s="78"/>
      <c r="C287" s="78"/>
      <c r="D287" s="78"/>
      <c r="E287" s="79"/>
      <c r="F287" s="80"/>
      <c r="G287" s="80"/>
      <c r="H287" s="81"/>
      <c r="J287" s="80"/>
      <c r="K287" s="81"/>
      <c r="L287" s="3"/>
      <c r="M287" s="3"/>
      <c r="N287" s="3"/>
    </row>
    <row r="288" spans="1:14" s="49" customFormat="1" ht="15" customHeight="1">
      <c r="A288" s="78"/>
      <c r="B288" s="78"/>
      <c r="C288" s="78"/>
      <c r="D288" s="78"/>
      <c r="E288" s="79"/>
      <c r="F288" s="80"/>
      <c r="G288" s="80"/>
      <c r="H288" s="81"/>
      <c r="J288" s="80"/>
      <c r="K288" s="80"/>
      <c r="M288" s="73"/>
      <c r="N288" s="73"/>
    </row>
    <row r="289" spans="1:14" s="49" customFormat="1" ht="12">
      <c r="A289" s="51"/>
      <c r="B289" s="51"/>
      <c r="C289" s="51"/>
      <c r="D289" s="51"/>
      <c r="E289" s="52"/>
      <c r="H289" s="3"/>
      <c r="M289" s="3"/>
      <c r="N289" s="3"/>
    </row>
    <row r="290" spans="1:14" s="49" customFormat="1" ht="12">
      <c r="A290" s="51"/>
      <c r="B290" s="51"/>
      <c r="C290" s="51"/>
      <c r="D290" s="51"/>
      <c r="E290" s="52"/>
      <c r="H290" s="3"/>
      <c r="M290" s="3"/>
      <c r="N290" s="3"/>
    </row>
    <row r="291" spans="1:14" s="49" customFormat="1" ht="12">
      <c r="A291" s="51"/>
      <c r="B291" s="51"/>
      <c r="C291" s="51"/>
      <c r="D291" s="51"/>
      <c r="E291" s="52"/>
      <c r="H291" s="3"/>
      <c r="M291" s="3"/>
      <c r="N291" s="3"/>
    </row>
    <row r="292" spans="1:14" s="49" customFormat="1" ht="12">
      <c r="A292" s="51"/>
      <c r="B292" s="51"/>
      <c r="C292" s="51"/>
      <c r="D292" s="51"/>
      <c r="E292" s="52"/>
      <c r="H292" s="3"/>
      <c r="M292" s="3"/>
      <c r="N292" s="3"/>
    </row>
    <row r="293" spans="1:14" s="49" customFormat="1" ht="12">
      <c r="A293" s="51"/>
      <c r="B293" s="51"/>
      <c r="C293" s="51"/>
      <c r="D293" s="51"/>
      <c r="E293" s="52"/>
      <c r="H293" s="3"/>
      <c r="M293" s="3"/>
      <c r="N293" s="3"/>
    </row>
    <row r="294" spans="1:14" s="49" customFormat="1" ht="12">
      <c r="A294" s="51"/>
      <c r="B294" s="51"/>
      <c r="C294" s="51"/>
      <c r="D294" s="51"/>
      <c r="E294" s="52"/>
      <c r="H294" s="3"/>
      <c r="M294" s="3"/>
      <c r="N294" s="3"/>
    </row>
    <row r="295" spans="1:14" s="49" customFormat="1" ht="12">
      <c r="A295" s="51"/>
      <c r="B295" s="51"/>
      <c r="C295" s="51"/>
      <c r="D295" s="51"/>
      <c r="E295" s="52"/>
      <c r="H295" s="3"/>
      <c r="M295" s="3"/>
      <c r="N295" s="3"/>
    </row>
    <row r="296" spans="1:14" s="49" customFormat="1" ht="12">
      <c r="A296" s="51"/>
      <c r="B296" s="51"/>
      <c r="C296" s="51"/>
      <c r="D296" s="51"/>
      <c r="E296" s="52"/>
      <c r="H296" s="3"/>
      <c r="M296" s="3"/>
      <c r="N296" s="3"/>
    </row>
    <row r="297" spans="1:14" s="49" customFormat="1" ht="12">
      <c r="A297" s="51"/>
      <c r="B297" s="51"/>
      <c r="C297" s="51"/>
      <c r="D297" s="51"/>
      <c r="E297" s="52"/>
      <c r="H297" s="3"/>
      <c r="M297" s="3"/>
      <c r="N297" s="3"/>
    </row>
    <row r="298" spans="1:14" s="49" customFormat="1" ht="12">
      <c r="A298" s="51"/>
      <c r="B298" s="51"/>
      <c r="C298" s="51"/>
      <c r="D298" s="51"/>
      <c r="E298" s="52"/>
      <c r="H298" s="3"/>
      <c r="M298" s="3"/>
      <c r="N298" s="3"/>
    </row>
    <row r="299" spans="1:14" s="49" customFormat="1" ht="12">
      <c r="A299" s="51"/>
      <c r="B299" s="51"/>
      <c r="C299" s="51"/>
      <c r="D299" s="51"/>
      <c r="E299" s="52"/>
      <c r="H299" s="3"/>
      <c r="M299" s="3"/>
      <c r="N299" s="3"/>
    </row>
    <row r="300" spans="1:14" s="49" customFormat="1" ht="12">
      <c r="A300" s="51"/>
      <c r="B300" s="51"/>
      <c r="C300" s="51"/>
      <c r="D300" s="51"/>
      <c r="E300" s="52"/>
      <c r="H300" s="3"/>
      <c r="M300" s="3"/>
      <c r="N300" s="3"/>
    </row>
    <row r="301" spans="1:14" s="49" customFormat="1" ht="12">
      <c r="A301" s="51"/>
      <c r="B301" s="51"/>
      <c r="C301" s="51"/>
      <c r="D301" s="51"/>
      <c r="E301" s="52"/>
      <c r="H301" s="3"/>
      <c r="M301" s="3"/>
      <c r="N301" s="3"/>
    </row>
    <row r="302" spans="1:14" s="49" customFormat="1" ht="61.5">
      <c r="A302" s="51"/>
      <c r="B302" s="51"/>
      <c r="C302" s="51"/>
      <c r="D302" s="51"/>
      <c r="E302" s="88" t="s">
        <v>437</v>
      </c>
      <c r="H302" s="3"/>
      <c r="M302" s="3"/>
      <c r="N302" s="3"/>
    </row>
    <row r="303" spans="1:14" s="49" customFormat="1" ht="28.5">
      <c r="A303" s="51"/>
      <c r="B303" s="51"/>
      <c r="C303" s="51"/>
      <c r="D303" s="51"/>
      <c r="E303" s="89" t="s">
        <v>442</v>
      </c>
      <c r="H303" s="3"/>
      <c r="M303" s="3"/>
      <c r="N303" s="3"/>
    </row>
    <row r="304" spans="1:14" s="49" customFormat="1" ht="12">
      <c r="A304" s="51"/>
      <c r="B304" s="51"/>
      <c r="C304" s="51"/>
      <c r="D304" s="51"/>
      <c r="E304" s="52"/>
      <c r="H304" s="3"/>
      <c r="M304" s="3"/>
      <c r="N304" s="3"/>
    </row>
    <row r="305" spans="1:14" s="49" customFormat="1" ht="12">
      <c r="A305" s="51"/>
      <c r="B305" s="51"/>
      <c r="C305" s="51"/>
      <c r="D305" s="51"/>
      <c r="E305" s="52"/>
      <c r="H305" s="3"/>
      <c r="M305" s="3"/>
      <c r="N305" s="3"/>
    </row>
    <row r="306" spans="1:14" s="49" customFormat="1" ht="12">
      <c r="A306" s="51"/>
      <c r="B306" s="51"/>
      <c r="C306" s="51"/>
      <c r="D306" s="51"/>
      <c r="E306" s="52"/>
      <c r="H306" s="3"/>
      <c r="M306" s="3"/>
      <c r="N306" s="3"/>
    </row>
    <row r="307" spans="1:14" s="49" customFormat="1" ht="12">
      <c r="A307" s="51"/>
      <c r="B307" s="51"/>
      <c r="C307" s="51"/>
      <c r="D307" s="51"/>
      <c r="E307" s="52"/>
      <c r="H307" s="3"/>
      <c r="M307" s="3"/>
      <c r="N307" s="3"/>
    </row>
    <row r="308" spans="1:14" s="49" customFormat="1" ht="12">
      <c r="A308" s="51"/>
      <c r="B308" s="51"/>
      <c r="C308" s="51"/>
      <c r="D308" s="51"/>
      <c r="E308" s="52"/>
      <c r="H308" s="3"/>
      <c r="M308" s="3"/>
      <c r="N308" s="3"/>
    </row>
    <row r="309" spans="1:14" s="49" customFormat="1" ht="12">
      <c r="A309" s="51"/>
      <c r="B309" s="51"/>
      <c r="C309" s="51"/>
      <c r="D309" s="51"/>
      <c r="E309" s="52"/>
      <c r="H309" s="3"/>
      <c r="M309" s="3"/>
      <c r="N309" s="3"/>
    </row>
    <row r="310" spans="1:14" s="49" customFormat="1" ht="12">
      <c r="A310" s="51"/>
      <c r="B310" s="51"/>
      <c r="C310" s="51"/>
      <c r="D310" s="51"/>
      <c r="E310" s="52"/>
      <c r="H310" s="3"/>
      <c r="J310" s="3"/>
      <c r="M310" s="3"/>
      <c r="N310" s="3"/>
    </row>
    <row r="311" spans="1:14" s="49" customFormat="1" ht="12">
      <c r="A311" s="51"/>
      <c r="B311" s="51"/>
      <c r="C311" s="51"/>
      <c r="D311" s="51"/>
      <c r="E311" s="52"/>
      <c r="H311" s="3">
        <f>457084000+13154000+47867000+15827000+24612000+86776000+2487000+3859000+8518558</f>
        <v>660184558</v>
      </c>
      <c r="J311" s="3"/>
      <c r="M311" s="3"/>
      <c r="N311" s="3"/>
    </row>
    <row r="312" spans="1:14" s="49" customFormat="1" ht="12">
      <c r="A312" s="51"/>
      <c r="B312" s="51"/>
      <c r="C312" s="51"/>
      <c r="D312" s="51"/>
      <c r="E312" s="62" t="s">
        <v>443</v>
      </c>
      <c r="F312" s="62" t="s">
        <v>443</v>
      </c>
      <c r="G312" s="3"/>
      <c r="H312" s="3">
        <f>457084000+86776000</f>
        <v>543860000</v>
      </c>
      <c r="I312" s="3">
        <f>+I42+I44+I45</f>
        <v>543860000</v>
      </c>
      <c r="J312" s="3">
        <f>+H312-I312</f>
        <v>0</v>
      </c>
      <c r="L312" s="49">
        <f>+O42+O44+O45</f>
        <v>543860000</v>
      </c>
      <c r="M312" s="3"/>
      <c r="N312" s="3"/>
    </row>
    <row r="313" spans="5:14" s="1" customFormat="1" ht="12">
      <c r="E313" s="62" t="s">
        <v>397</v>
      </c>
      <c r="F313" s="62" t="s">
        <v>397</v>
      </c>
      <c r="G313" s="3"/>
      <c r="H313" s="3">
        <f>13154000+2487000</f>
        <v>15641000</v>
      </c>
      <c r="I313" s="3">
        <f>+I61+I62+I105+I47</f>
        <v>15641000</v>
      </c>
      <c r="J313" s="3">
        <f aca="true" t="shared" si="16" ref="J313:J320">+H313-I313</f>
        <v>0</v>
      </c>
      <c r="K313" s="49"/>
      <c r="L313" s="49">
        <f>+O61+O62+O105+O47</f>
        <v>15641000</v>
      </c>
      <c r="M313" s="3"/>
      <c r="N313" s="3"/>
    </row>
    <row r="314" spans="5:14" s="1" customFormat="1" ht="36">
      <c r="E314" s="62" t="s">
        <v>444</v>
      </c>
      <c r="F314" s="62" t="s">
        <v>445</v>
      </c>
      <c r="G314" s="3"/>
      <c r="H314" s="3">
        <f>15827000+80000</f>
        <v>15907000</v>
      </c>
      <c r="I314" s="3">
        <f>+I189</f>
        <v>16207000</v>
      </c>
      <c r="J314" s="3">
        <f t="shared" si="16"/>
        <v>-300000</v>
      </c>
      <c r="K314" s="49"/>
      <c r="L314" s="49">
        <f>+O189</f>
        <v>16207000</v>
      </c>
      <c r="M314" s="3"/>
      <c r="N314" s="3"/>
    </row>
    <row r="315" spans="5:14" s="1" customFormat="1" ht="12">
      <c r="E315" s="62" t="s">
        <v>398</v>
      </c>
      <c r="F315" s="62" t="s">
        <v>398</v>
      </c>
      <c r="G315" s="3"/>
      <c r="H315" s="3">
        <v>8518558</v>
      </c>
      <c r="I315" s="3">
        <f>+I190</f>
        <v>8518558</v>
      </c>
      <c r="J315" s="3">
        <f t="shared" si="16"/>
        <v>0</v>
      </c>
      <c r="K315" s="49"/>
      <c r="L315" s="49">
        <f>+O190</f>
        <v>8518558</v>
      </c>
      <c r="M315" s="3"/>
      <c r="N315" s="3"/>
    </row>
    <row r="316" spans="5:14" s="1" customFormat="1" ht="24">
      <c r="E316" s="62" t="s">
        <v>446</v>
      </c>
      <c r="F316" s="62" t="s">
        <v>446</v>
      </c>
      <c r="G316" s="3"/>
      <c r="H316" s="3">
        <f>24612000+150000+85000+1148000</f>
        <v>25995000</v>
      </c>
      <c r="I316" s="3">
        <f>+I184+I185+I186+I187+I192</f>
        <v>25995000</v>
      </c>
      <c r="J316" s="3">
        <f t="shared" si="16"/>
        <v>0</v>
      </c>
      <c r="K316" s="49"/>
      <c r="L316" s="49">
        <f>+O184+O185+O186+O187+O192</f>
        <v>25995000</v>
      </c>
      <c r="M316" s="3"/>
      <c r="N316" s="3"/>
    </row>
    <row r="317" spans="5:14" s="1" customFormat="1" ht="84">
      <c r="E317" s="62" t="s">
        <v>399</v>
      </c>
      <c r="F317" s="62" t="s">
        <v>447</v>
      </c>
      <c r="G317" s="3"/>
      <c r="H317" s="3">
        <f>18929000+1664169+1330083</f>
        <v>21923252</v>
      </c>
      <c r="I317" s="3">
        <f>+I72+I73+I74+I75+I175+I176</f>
        <v>21923252</v>
      </c>
      <c r="J317" s="3">
        <f t="shared" si="16"/>
        <v>0</v>
      </c>
      <c r="K317" s="49"/>
      <c r="L317" s="49">
        <f>+O72+O73+O74+O75+O175+O176</f>
        <v>21923252</v>
      </c>
      <c r="M317" s="3"/>
      <c r="N317" s="3"/>
    </row>
    <row r="318" spans="5:14" s="1" customFormat="1" ht="18" customHeight="1">
      <c r="E318" s="62" t="s">
        <v>400</v>
      </c>
      <c r="F318" s="62" t="s">
        <v>448</v>
      </c>
      <c r="G318" s="3"/>
      <c r="H318" s="3">
        <f>28938000+2396000+650000+3447631.84+511204</f>
        <v>35942835.84</v>
      </c>
      <c r="I318" s="3">
        <f>+I69+I70+I77+I78+I80+I82+I83+I84+I85+I86+I87+I90+I120+I91+I92+I93+I96+I101+I102+I103+I104+I108+I110+I112+I116+I123+I128+I131+I132+I136+I139+I140+I141+I142+I143+I144+I145+I146+I147+I150+I151+I153+I154+I155+I156+I157+I158+I160+I161+I162+I163+I164+I167+I168+I169+I171+I173+I177+I178+I179+I181+I193+I195+I196+I202+I203+I204+I205+I206+I207+I208+I209+I210+I211+I221+I201+I134+I199+I114+I197+I226+I113+I198+I99+I79+I224+I217</f>
        <v>35642835.78</v>
      </c>
      <c r="J318" s="3">
        <f t="shared" si="16"/>
        <v>300000.0600000024</v>
      </c>
      <c r="K318" s="49"/>
      <c r="L318" s="49">
        <f>+O69+O70+O77+O78+O80+O82+O83+O84+O85+O86+O87+O90+O120+O91+O92+O93+O96+O101+O102+O103+O104+O108+O110+O112+O116+O123+O128+O131+O132+O136+O139+O140+O141+O142+O143+O144+O145+O146+O147+O150+O151+O153+O154+O155+O156+O157+O158+O160+O161+O162+O163+O164+O167+O168+O169+O171+O173+O177+O178+O179+O181+O193+O195+O196+O202+O203+O204+O205+O206+O207+O208+O209+O210+O211+O221+O201+O134+O199+O114+O197+O226+O113+O198+O99+O79+O224+O217</f>
        <v>35642835.78</v>
      </c>
      <c r="M318" s="3"/>
      <c r="N318" s="3"/>
    </row>
    <row r="319" spans="5:14" s="1" customFormat="1" ht="24">
      <c r="E319" s="62" t="s">
        <v>449</v>
      </c>
      <c r="F319" s="62" t="s">
        <v>449</v>
      </c>
      <c r="G319" s="3"/>
      <c r="H319" s="3">
        <f>3346000+1726048.89+5925991.67+118473</f>
        <v>11116513.559999999</v>
      </c>
      <c r="I319" s="3">
        <f>+I55+I56+I64</f>
        <v>11116513.559999999</v>
      </c>
      <c r="J319" s="3">
        <f t="shared" si="16"/>
        <v>0</v>
      </c>
      <c r="K319" s="49"/>
      <c r="L319" s="49">
        <f>+O55+O56+O64</f>
        <v>11116513.559999999</v>
      </c>
      <c r="M319" s="3"/>
      <c r="N319" s="3"/>
    </row>
    <row r="320" spans="5:14" s="1" customFormat="1" ht="12">
      <c r="E320" s="62" t="s">
        <v>401</v>
      </c>
      <c r="F320" s="62" t="s">
        <v>401</v>
      </c>
      <c r="G320" s="3"/>
      <c r="H320" s="3">
        <v>2624410</v>
      </c>
      <c r="I320" s="3">
        <f>+I216</f>
        <v>2624410</v>
      </c>
      <c r="J320" s="3">
        <f t="shared" si="16"/>
        <v>0</v>
      </c>
      <c r="K320" s="49"/>
      <c r="L320" s="49">
        <f>+O216</f>
        <v>2624410</v>
      </c>
      <c r="M320" s="3"/>
      <c r="N320" s="3"/>
    </row>
    <row r="321" spans="5:14" s="1" customFormat="1" ht="12">
      <c r="E321" s="62" t="s">
        <v>450</v>
      </c>
      <c r="F321" s="62" t="s">
        <v>450</v>
      </c>
      <c r="G321" s="3"/>
      <c r="H321" s="3">
        <v>3500000</v>
      </c>
      <c r="J321" s="3"/>
      <c r="K321" s="3"/>
      <c r="L321" s="3"/>
      <c r="M321" s="3"/>
      <c r="N321" s="3"/>
    </row>
    <row r="322" spans="5:14" s="1" customFormat="1" ht="12">
      <c r="E322" s="2"/>
      <c r="F322" s="3"/>
      <c r="G322" s="3"/>
      <c r="H322" s="3">
        <f>+H312+H313+H314+H315+H316+H317+H318+H319+H320+H321</f>
        <v>685028569.4</v>
      </c>
      <c r="J322" s="3"/>
      <c r="M322" s="3"/>
      <c r="N322" s="3"/>
    </row>
    <row r="323" spans="5:14" s="1" customFormat="1" ht="12">
      <c r="E323" s="2"/>
      <c r="F323" s="1" t="s">
        <v>414</v>
      </c>
      <c r="H323" s="3">
        <f>+I22</f>
        <v>685028569</v>
      </c>
      <c r="I323" s="87">
        <f>+H322-H323</f>
        <v>0.3999999761581421</v>
      </c>
      <c r="J323" s="3">
        <f>+J317+J318+J314</f>
        <v>0.06000000238418579</v>
      </c>
      <c r="M323" s="3"/>
      <c r="N323" s="3"/>
    </row>
    <row r="324" spans="5:14" s="1" customFormat="1" ht="12">
      <c r="E324" s="64"/>
      <c r="F324" s="1" t="s">
        <v>451</v>
      </c>
      <c r="H324" s="72">
        <f>+I242-H322</f>
        <v>-0.060000061988830566</v>
      </c>
      <c r="J324" s="3">
        <f>+J323+H324</f>
        <v>-5.960464477539063E-08</v>
      </c>
      <c r="M324" s="3"/>
      <c r="N324" s="3"/>
    </row>
    <row r="325" spans="5:14" s="1" customFormat="1" ht="12">
      <c r="E325" s="2"/>
      <c r="H325" s="3"/>
      <c r="J325" s="3"/>
      <c r="M325" s="3"/>
      <c r="N325" s="3"/>
    </row>
    <row r="326" spans="5:14" s="1" customFormat="1" ht="12">
      <c r="E326" s="2"/>
      <c r="H326" s="3"/>
      <c r="M326" s="3"/>
      <c r="N326" s="3"/>
    </row>
    <row r="327" spans="5:14" s="1" customFormat="1" ht="12">
      <c r="E327" s="2"/>
      <c r="H327" s="2" t="s">
        <v>402</v>
      </c>
      <c r="M327" s="3"/>
      <c r="N327" s="3"/>
    </row>
    <row r="328" spans="5:14" s="1" customFormat="1" ht="12">
      <c r="E328" s="62" t="s">
        <v>443</v>
      </c>
      <c r="F328" s="62" t="s">
        <v>443</v>
      </c>
      <c r="H328" s="63">
        <v>86776000</v>
      </c>
      <c r="M328" s="3"/>
      <c r="N328" s="3"/>
    </row>
    <row r="329" spans="5:14" s="1" customFormat="1" ht="12">
      <c r="E329" s="62" t="s">
        <v>397</v>
      </c>
      <c r="F329" s="62" t="s">
        <v>397</v>
      </c>
      <c r="H329" s="63">
        <v>2487000</v>
      </c>
      <c r="I329" s="3">
        <f>+H328+H329</f>
        <v>89263000</v>
      </c>
      <c r="M329" s="3"/>
      <c r="N329" s="3"/>
    </row>
    <row r="330" spans="5:14" s="1" customFormat="1" ht="12">
      <c r="E330" s="62"/>
      <c r="F330" s="62"/>
      <c r="H330" s="63">
        <v>3859000</v>
      </c>
      <c r="K330" s="1">
        <f>39416.82/160</f>
        <v>246.355125</v>
      </c>
      <c r="M330" s="3"/>
      <c r="N330" s="3"/>
    </row>
    <row r="331" spans="5:14" s="1" customFormat="1" ht="12">
      <c r="E331" s="62" t="s">
        <v>444</v>
      </c>
      <c r="F331" s="62" t="s">
        <v>444</v>
      </c>
      <c r="H331" s="63">
        <v>80000</v>
      </c>
      <c r="I331" s="258">
        <f>+H330-H331-H332-H334-H335-H333</f>
        <v>0</v>
      </c>
      <c r="K331" s="1">
        <f>6314.64/24</f>
        <v>263.11</v>
      </c>
      <c r="M331" s="3"/>
      <c r="N331" s="3"/>
    </row>
    <row r="332" spans="5:14" s="1" customFormat="1" ht="12">
      <c r="E332" s="62" t="s">
        <v>403</v>
      </c>
      <c r="F332" s="62" t="s">
        <v>403</v>
      </c>
      <c r="H332" s="63">
        <v>150000</v>
      </c>
      <c r="I332" s="258"/>
      <c r="M332" s="3"/>
      <c r="N332" s="3"/>
    </row>
    <row r="333" spans="5:14" s="1" customFormat="1" ht="12">
      <c r="E333" s="62" t="s">
        <v>404</v>
      </c>
      <c r="F333" s="62" t="s">
        <v>404</v>
      </c>
      <c r="H333" s="63">
        <v>85000</v>
      </c>
      <c r="I333" s="258"/>
      <c r="M333" s="3"/>
      <c r="N333" s="3"/>
    </row>
    <row r="334" spans="5:14" s="1" customFormat="1" ht="12">
      <c r="E334" s="62" t="s">
        <v>405</v>
      </c>
      <c r="F334" s="62" t="s">
        <v>405</v>
      </c>
      <c r="H334" s="63">
        <f>3200000+1516000-2646000-922000</f>
        <v>1148000</v>
      </c>
      <c r="I334" s="258"/>
      <c r="J334" s="3"/>
      <c r="M334" s="3"/>
      <c r="N334" s="3"/>
    </row>
    <row r="335" spans="5:14" s="1" customFormat="1" ht="12">
      <c r="E335" s="62" t="s">
        <v>452</v>
      </c>
      <c r="F335" s="62" t="s">
        <v>452</v>
      </c>
      <c r="H335" s="63">
        <v>2396000</v>
      </c>
      <c r="I335" s="258"/>
      <c r="M335" s="3"/>
      <c r="N335" s="3"/>
    </row>
    <row r="336" spans="5:14" s="1" customFormat="1" ht="12">
      <c r="E336" s="62" t="s">
        <v>406</v>
      </c>
      <c r="F336" s="62" t="s">
        <v>406</v>
      </c>
      <c r="H336" s="63"/>
      <c r="M336" s="3"/>
      <c r="N336" s="3"/>
    </row>
    <row r="337" spans="5:14" s="1" customFormat="1" ht="12">
      <c r="E337" s="62" t="s">
        <v>407</v>
      </c>
      <c r="F337" s="62" t="s">
        <v>407</v>
      </c>
      <c r="H337" s="63"/>
      <c r="M337" s="3"/>
      <c r="N337" s="3"/>
    </row>
    <row r="338" spans="5:14" s="1" customFormat="1" ht="12">
      <c r="E338" s="2"/>
      <c r="F338" s="2"/>
      <c r="H338" s="63">
        <f>+H328+H329+H330</f>
        <v>93122000</v>
      </c>
      <c r="M338" s="3"/>
      <c r="N338" s="3"/>
    </row>
    <row r="339" spans="5:14" s="1" customFormat="1" ht="12">
      <c r="E339" s="2"/>
      <c r="F339" s="2"/>
      <c r="H339" s="3">
        <f>+H338+H336+H337</f>
        <v>93122000</v>
      </c>
      <c r="M339" s="3"/>
      <c r="N339" s="3"/>
    </row>
    <row r="340" spans="5:14" s="1" customFormat="1" ht="12">
      <c r="E340" s="65" t="s">
        <v>408</v>
      </c>
      <c r="F340" s="65" t="s">
        <v>408</v>
      </c>
      <c r="H340" s="3">
        <v>323000</v>
      </c>
      <c r="M340" s="3"/>
      <c r="N340" s="3"/>
    </row>
    <row r="342" spans="5:14" s="1" customFormat="1" ht="12">
      <c r="E342" s="2"/>
      <c r="F342" s="1" t="s">
        <v>412</v>
      </c>
      <c r="H342" s="3">
        <v>84783000</v>
      </c>
      <c r="M342" s="3"/>
      <c r="N342" s="3"/>
    </row>
    <row r="343" spans="5:14" s="1" customFormat="1" ht="12">
      <c r="E343" s="2"/>
      <c r="H343" s="3"/>
      <c r="M343" s="3"/>
      <c r="N343" s="3"/>
    </row>
    <row r="344" spans="5:14" s="1" customFormat="1" ht="12">
      <c r="E344" s="2"/>
      <c r="H344" s="3"/>
      <c r="M344" s="3"/>
      <c r="N344" s="3"/>
    </row>
    <row r="345" spans="5:14" s="1" customFormat="1" ht="12">
      <c r="E345" s="2"/>
      <c r="H345" s="3"/>
      <c r="M345" s="3"/>
      <c r="N345" s="3"/>
    </row>
    <row r="346" spans="5:14" s="1" customFormat="1" ht="12">
      <c r="E346" s="2"/>
      <c r="H346" s="3"/>
      <c r="M346" s="3"/>
      <c r="N346" s="3"/>
    </row>
    <row r="347" spans="5:14" s="1" customFormat="1" ht="12">
      <c r="E347" s="2"/>
      <c r="H347" s="3"/>
      <c r="M347" s="3"/>
      <c r="N347" s="3"/>
    </row>
    <row r="348" spans="5:14" s="1" customFormat="1" ht="12">
      <c r="E348" s="2"/>
      <c r="H348" s="3"/>
      <c r="M348" s="3"/>
      <c r="N348" s="3"/>
    </row>
    <row r="351" spans="5:14" s="1" customFormat="1" ht="12">
      <c r="E351" s="2"/>
      <c r="H351" s="3"/>
      <c r="M351" s="3"/>
      <c r="N351" s="3"/>
    </row>
    <row r="353" spans="5:14" s="1" customFormat="1" ht="12">
      <c r="E353" s="2"/>
      <c r="H353" s="3"/>
      <c r="M353" s="3"/>
      <c r="N353" s="3"/>
    </row>
  </sheetData>
  <sheetProtection selectLockedCells="1" selectUnlockedCells="1"/>
  <mergeCells count="75">
    <mergeCell ref="A6:A8"/>
    <mergeCell ref="B6:B8"/>
    <mergeCell ref="C6:C8"/>
    <mergeCell ref="D6:D8"/>
    <mergeCell ref="E6:E8"/>
    <mergeCell ref="F6:K6"/>
    <mergeCell ref="F7:F8"/>
    <mergeCell ref="G7:I7"/>
    <mergeCell ref="J7:J8"/>
    <mergeCell ref="K7:K8"/>
    <mergeCell ref="D10:E10"/>
    <mergeCell ref="D11:E11"/>
    <mergeCell ref="D13:E13"/>
    <mergeCell ref="A14:A15"/>
    <mergeCell ref="B14:B15"/>
    <mergeCell ref="C14:C15"/>
    <mergeCell ref="D16:E16"/>
    <mergeCell ref="D18:E18"/>
    <mergeCell ref="D20:E20"/>
    <mergeCell ref="D21:E21"/>
    <mergeCell ref="A22:E22"/>
    <mergeCell ref="A35:A37"/>
    <mergeCell ref="B35:B37"/>
    <mergeCell ref="C35:C37"/>
    <mergeCell ref="D35:D37"/>
    <mergeCell ref="E35:E37"/>
    <mergeCell ref="F35:K35"/>
    <mergeCell ref="F36:F37"/>
    <mergeCell ref="G36:I36"/>
    <mergeCell ref="J36:J37"/>
    <mergeCell ref="K36:K37"/>
    <mergeCell ref="A39:E39"/>
    <mergeCell ref="D40:E40"/>
    <mergeCell ref="D41:E41"/>
    <mergeCell ref="D43:E43"/>
    <mergeCell ref="D46:E46"/>
    <mergeCell ref="D49:E49"/>
    <mergeCell ref="A51:A52"/>
    <mergeCell ref="D59:E59"/>
    <mergeCell ref="A60:A61"/>
    <mergeCell ref="B60:B61"/>
    <mergeCell ref="D63:E63"/>
    <mergeCell ref="D66:E66"/>
    <mergeCell ref="D67:E67"/>
    <mergeCell ref="B69:B70"/>
    <mergeCell ref="B72:B75"/>
    <mergeCell ref="B77:B78"/>
    <mergeCell ref="B82:B87"/>
    <mergeCell ref="B90:B93"/>
    <mergeCell ref="D97:E97"/>
    <mergeCell ref="D219:E219"/>
    <mergeCell ref="D228:E228"/>
    <mergeCell ref="D232:E232"/>
    <mergeCell ref="D106:E106"/>
    <mergeCell ref="B112:B114"/>
    <mergeCell ref="D129:E129"/>
    <mergeCell ref="D137:E137"/>
    <mergeCell ref="B139:B147"/>
    <mergeCell ref="D165:E165"/>
    <mergeCell ref="L6:Q6"/>
    <mergeCell ref="L7:L8"/>
    <mergeCell ref="M7:O7"/>
    <mergeCell ref="P7:P8"/>
    <mergeCell ref="Q7:Q8"/>
    <mergeCell ref="L35:Q35"/>
    <mergeCell ref="M36:O36"/>
    <mergeCell ref="P36:P37"/>
    <mergeCell ref="Q36:Q37"/>
    <mergeCell ref="A242:E242"/>
    <mergeCell ref="L247:N247"/>
    <mergeCell ref="I331:I335"/>
    <mergeCell ref="L36:L37"/>
    <mergeCell ref="D212:E212"/>
    <mergeCell ref="D215:E215"/>
    <mergeCell ref="D217:E217"/>
  </mergeCells>
  <dataValidations count="4">
    <dataValidation type="whole" allowBlank="1" showErrorMessage="1" errorTitle="Upozorenje" error="Niste uneli korektnu vrednost!&#10;Ponovite unos." sqref="H188 N188">
      <formula1>0</formula1>
      <formula2>999999999999</formula2>
    </dataValidation>
    <dataValidation type="whole" allowBlank="1" showErrorMessage="1" errorTitle="Upozorenje" error="Niste uneli korektnu vrednost!&#10;Ponovite unos." sqref="H182 H20:H21 H129:H130 H59 H109 H97:H99 H165:H166 H71 H111 H76 H149 H81 H115 H89 H67 N20:N21 N182 N129:N130 N59 N109 N97:N99 N165:N166 N71 N111 N76 N149 N81 N115 N89 N67">
      <formula1>0</formula1>
      <formula2>999999999</formula2>
    </dataValidation>
    <dataValidation allowBlank="1" showErrorMessage="1" errorTitle="Upozorenje" error="Niste uneli korektnu vrednost!&#10;Ponovite unos." sqref="G95:G99 G229:K231 I166:K166 H16 I42:K42 G19:G21 G36:G37 G224:J227 G7:G8 G39 G232:G233 G41:H42 G111 I111:K111 G167:K181 G47:K48 G112:K114 G55:K58 G51:G54 G60:K62 G240:G241 G59 G115 I115:K115 G64:K65 G63 G182:G183 G116:K128 I182:K183 G66:G67 G68:K70 I71:K71 G129:G130 F223:J223 G71 I130:K130 G72:K75 G184:K187 G131:K136 I76:K76 G76 G77:K80 I81:K81 G137:G139 G81 H138:K139 G82:K88 G140:K147 G188 I89:K89 G89 I188:K188 I95:K96 G148:G149 I148:K149 G100:K105 G150:K164 G106 I108:K109 G107:H108 G228 G90:K94 G165:G166 G109 G43:G46 K189:K218 G235:G238 G10:G17 K221:K227 G189:J216 G218:J218 G217 Q20:Q21 G221:J222 K20:K21 N16 M19:M21 M7:M8 M10:M17 G110:K110 M95:M99 M229:Q231 O166:Q166 O42:Q42 M36:M37 M224:P227 M39 M232:M233 M41:N42 M111 O111:Q111 M167:Q181 M47:Q48 M112:Q114 M55:Q58 M51:M54 M60:Q62 M240:M241 M59 M115">
      <formula1>0</formula1>
      <formula2>0</formula2>
    </dataValidation>
    <dataValidation allowBlank="1" showErrorMessage="1" errorTitle="Upozorenje" error="Niste uneli korektnu vrednost!&#10;Ponovite unos." sqref="O115:Q115 M64:Q65 M63 M182:M183 M116:Q128 O182:Q183 M66:M67 M68:Q70 O71:Q71 M129:M130 L223:P223 M71 O130:Q130 M72:Q75 M184:Q187 M131:Q136 O76:Q76 M76 M77:Q80 O81:Q81 M137:M139 M81 N138:Q139 M82:Q88 M140:Q147 M188 O89:Q89 M89 O188:Q188 O95:Q96 M148:M149 O148:Q149 M100:Q105 M150:Q164 M106 O108:Q109 M107:N108 M228 M90:Q94 M165:M166 M109 M43:M46 Q189:Q218 M235:M238 Q221:Q227 M189:P216 M218:P218 M217 M221:P222 M110:Q110">
      <formula1>0</formula1>
      <formula2>0</formula2>
    </dataValidation>
  </dataValidations>
  <printOptions/>
  <pageMargins left="0.2362204724409449" right="0.31496062992125984" top="0.3937007874015748" bottom="0.5118110236220472" header="0.5118110236220472" footer="0.5118110236220472"/>
  <pageSetup horizontalDpi="300" verticalDpi="3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cp:lastPrinted>2021-01-12T10:59:31Z</cp:lastPrinted>
  <dcterms:modified xsi:type="dcterms:W3CDTF">2021-05-25T11:40:12Z</dcterms:modified>
  <cp:category/>
  <cp:version/>
  <cp:contentType/>
  <cp:contentStatus/>
</cp:coreProperties>
</file>