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I rebalans" sheetId="1" r:id="rId1"/>
  </sheets>
  <definedNames>
    <definedName name="_xlnm.Print_Titles" localSheetId="0">'II rebalans'!$A:$E,'II rebalans'!$27:$30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O1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ПРИХОДИ ОД ПРОШЛЕ ГОДИНЕ И ДОДАТЕ РЕФУНДАЦИЈЕ
</t>
        </r>
      </text>
    </comment>
    <comment ref="O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додати пред крај године
</t>
        </r>
      </text>
    </comment>
    <comment ref="N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завод дуг + завод 3 месеца до истека уговора</t>
        </r>
      </text>
    </comment>
    <comment ref="J1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ПРИХОДИ ОД ПРОШЛЕ ГОДИНЕ И ДОДАТЕ РЕФУНДАЦИЈЕ
</t>
        </r>
      </text>
    </comment>
    <comment ref="J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додати пред крај године
</t>
        </r>
      </text>
    </comment>
    <comment ref="I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завод дуг + завод 3 месеца до истека уговора</t>
        </r>
      </text>
    </comment>
  </commentList>
</comments>
</file>

<file path=xl/sharedStrings.xml><?xml version="1.0" encoding="utf-8"?>
<sst xmlns="http://schemas.openxmlformats.org/spreadsheetml/2006/main" count="478" uniqueCount="440">
  <si>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</si>
  <si>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</si>
  <si>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</si>
  <si>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</si>
  <si>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</si>
  <si>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</si>
  <si>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Укупно                       </t>
  </si>
  <si>
    <t>Приходи из буџета</t>
  </si>
  <si>
    <t>Сопствена средства</t>
  </si>
  <si>
    <t>Републике</t>
  </si>
  <si>
    <t>Општине</t>
  </si>
  <si>
    <t>ООСО</t>
  </si>
  <si>
    <t>I</t>
  </si>
  <si>
    <t>740000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</si>
  <si>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</si>
  <si>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</si>
  <si>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</si>
  <si>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742121**</t>
  </si>
  <si>
    <t>Приходи од услуга</t>
  </si>
  <si>
    <t>Приходи од закупа непокретности</t>
  </si>
  <si>
    <t xml:space="preserve">МЕШОВИТИ И НЕОДРЕЂЕНИ ПРИХОДИ </t>
  </si>
  <si>
    <t>74516*</t>
  </si>
  <si>
    <t xml:space="preserve">Меморандумске ставке за рефундацију расхода </t>
  </si>
  <si>
    <t>II</t>
  </si>
  <si>
    <t>III</t>
  </si>
  <si>
    <t>ПРИХОДИ ИЗ БУЏЕТА</t>
  </si>
  <si>
    <t>РАСХОДИ И ИЗДАЦИ</t>
  </si>
  <si>
    <t>Група расхода</t>
  </si>
  <si>
    <t>Расходи и издаци из буџета</t>
  </si>
  <si>
    <t xml:space="preserve">ТЕКУЋИ РАСХОДИ И ИЗДАЦИ ЗА НЕФИНАНСИЈСКЕ ИМОВИНЕ </t>
  </si>
  <si>
    <t xml:space="preserve">ПЛАТЕ, ДОДАЦИ И НАКНАДЕ ЗАПОСЛЕНИХ (ЗАРАДЕ)  </t>
  </si>
  <si>
    <t>I.1.1</t>
  </si>
  <si>
    <t>ПЛАТЕ, ДОДАЦИ И НАКНАДЕ ЗАПОСЛЕНИХ</t>
  </si>
  <si>
    <t xml:space="preserve">СОЦИЈАЛНИ ДОПРИНОСИ НА ТЕРЕТ ПОСЛОДАВЦА 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</si>
  <si>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</si>
  <si>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</si>
  <si>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</si>
  <si>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</si>
  <si>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Исплата накнада за време одсуствовања с посла на терет фондова</t>
  </si>
  <si>
    <t>Породиљско боловање</t>
  </si>
  <si>
    <t xml:space="preserve">Боловање преко 30 дана </t>
  </si>
  <si>
    <t>Отпремнине приликом одласка у пензију</t>
  </si>
  <si>
    <t>Помоћ у случају смрти запосленог или члана уже породице</t>
  </si>
  <si>
    <t>НАКНАДЕ ТРОШКОВА ЗА ЗАПОСЛЕНЕ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</si>
  <si>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</si>
  <si>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</si>
  <si>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</si>
  <si>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</si>
  <si>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</si>
  <si>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</si>
  <si>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</si>
  <si>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КОРИШЋЕЊЕ УСЛУГА И РОБА (1+2+3+4+5+6)</t>
  </si>
  <si>
    <t xml:space="preserve">СТАЛНИ ТРОШКОВИ </t>
  </si>
  <si>
    <t>ТРОШКОВИ ПЛАТНОГ ПРОМЕТА И БАНКАРСКИХ УСЛУГА</t>
  </si>
  <si>
    <t>II.1.1.2</t>
  </si>
  <si>
    <t>Платни промет</t>
  </si>
  <si>
    <t>Банкарске услуге</t>
  </si>
  <si>
    <t>II.1.2</t>
  </si>
  <si>
    <t>ЕНЕРГЕТСКЕ УСЛУГЕ</t>
  </si>
  <si>
    <t>II.1.2.1</t>
  </si>
  <si>
    <t>Електрична енергија</t>
  </si>
  <si>
    <t>II.1.2.2</t>
  </si>
  <si>
    <t>Природни гас</t>
  </si>
  <si>
    <t>II.1.2.3</t>
  </si>
  <si>
    <t>II.1.2.4</t>
  </si>
  <si>
    <t>Лож уље</t>
  </si>
  <si>
    <t>Централно грејање</t>
  </si>
  <si>
    <t>II.1.3</t>
  </si>
  <si>
    <t>КОМУНАЛНЕ УСЛУГЕ</t>
  </si>
  <si>
    <t>II.1.3.1</t>
  </si>
  <si>
    <t>Водовод и канализација</t>
  </si>
  <si>
    <t>II.1.3.2</t>
  </si>
  <si>
    <t>Одвоз отпада</t>
  </si>
  <si>
    <t>II.1.3.3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</si>
  <si>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</si>
  <si>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</si>
  <si>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</si>
  <si>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</si>
  <si>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</si>
  <si>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</si>
  <si>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</si>
  <si>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II.1.5</t>
  </si>
  <si>
    <t>ТРОШКОВИ ОСИГУРАЊА</t>
  </si>
  <si>
    <t>II.1.5.1</t>
  </si>
  <si>
    <t>Осигурање возила</t>
  </si>
  <si>
    <t>II.1.5.2</t>
  </si>
  <si>
    <t>Осигурање имовине</t>
  </si>
  <si>
    <t>II.1.5.3</t>
  </si>
  <si>
    <t>Осигурање запослених у случају несреће</t>
  </si>
  <si>
    <t>II.1.6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</si>
  <si>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</si>
  <si>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</si>
  <si>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</si>
  <si>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</si>
  <si>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</si>
  <si>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II.3.2</t>
  </si>
  <si>
    <t>II.3.2.1</t>
  </si>
  <si>
    <t>II.3.3</t>
  </si>
  <si>
    <t>II.3.3.1</t>
  </si>
  <si>
    <t>Услуге образовања и усавршавања запослених</t>
  </si>
  <si>
    <t>II.3.3.2</t>
  </si>
  <si>
    <t>Котизација за семинаре</t>
  </si>
  <si>
    <t>II.3.4</t>
  </si>
  <si>
    <t>II.3.4.1</t>
  </si>
  <si>
    <t>Објављивање тендера и информативних огласа</t>
  </si>
  <si>
    <t>II.3.5</t>
  </si>
  <si>
    <t>II.3.6</t>
  </si>
  <si>
    <t>Репрезентација</t>
  </si>
  <si>
    <t>II.3.7</t>
  </si>
  <si>
    <t>Остале опште услуге</t>
  </si>
  <si>
    <t xml:space="preserve">СПЕЦИЈАЛИЗОВАНЕ УСЛУГЕ </t>
  </si>
  <si>
    <t>II.4.1</t>
  </si>
  <si>
    <t>II.4.1.1</t>
  </si>
  <si>
    <t>II.4.1.2</t>
  </si>
  <si>
    <t>Услуге јавног здравства - инспекција и анализа</t>
  </si>
  <si>
    <t xml:space="preserve">ТЕКУЋЕ ПОПРАВКЕ И ОДРЖАВАЊЕ </t>
  </si>
  <si>
    <t>II.5.1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</si>
  <si>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</si>
  <si>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</si>
  <si>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</si>
  <si>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</si>
  <si>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</si>
  <si>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</si>
  <si>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</si>
  <si>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</si>
  <si>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</si>
  <si>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</si>
  <si>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</si>
  <si>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II.5.1.7</t>
  </si>
  <si>
    <t>Електричне инсталације</t>
  </si>
  <si>
    <t>II.5.1.8</t>
  </si>
  <si>
    <t>Остале услуге и материјали за текуће поправке и одржавање зграда</t>
  </si>
  <si>
    <t>II.5.1.9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</si>
  <si>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</si>
  <si>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</si>
  <si>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</si>
  <si>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</si>
  <si>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</si>
  <si>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</si>
  <si>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II.5.2.1.2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</si>
  <si>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</si>
  <si>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</si>
  <si>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</si>
  <si>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</si>
  <si>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</si>
  <si>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</si>
  <si>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</si>
  <si>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</si>
  <si>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</si>
  <si>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</si>
  <si>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</si>
  <si>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</si>
  <si>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</si>
  <si>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Текуће поправке и одржавање медицинске опреме</t>
  </si>
  <si>
    <t>Сервис стоматолошке опреме</t>
  </si>
  <si>
    <t>II.5.2.4</t>
  </si>
  <si>
    <t>Текуће поправке и одржавање лабораторијске опреме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</si>
  <si>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</si>
  <si>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</si>
  <si>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</si>
  <si>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</si>
  <si>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</si>
  <si>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</si>
  <si>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</si>
  <si>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</si>
  <si>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</si>
  <si>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II.6.1.4</t>
  </si>
  <si>
    <t>II.6.2</t>
  </si>
  <si>
    <t>Материјали за образовање и усавршавање запослених -стручна литература</t>
  </si>
  <si>
    <t>II.6.3</t>
  </si>
  <si>
    <t>МАТЕРИЈАЛИ ЗА САОБРАЋАЈ</t>
  </si>
  <si>
    <t>II.6.3.1</t>
  </si>
  <si>
    <t>Бензин</t>
  </si>
  <si>
    <t>II.6.3.2</t>
  </si>
  <si>
    <t>II.6.3.3</t>
  </si>
  <si>
    <t>Дизел гориво</t>
  </si>
  <si>
    <t>II.6.3.4</t>
  </si>
  <si>
    <t>Уља и мазива</t>
  </si>
  <si>
    <t>II.6.3.5</t>
  </si>
  <si>
    <t>Ауто гуме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</si>
  <si>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</si>
  <si>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</si>
  <si>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</si>
  <si>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</si>
  <si>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</si>
  <si>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Санитетски материјал</t>
  </si>
  <si>
    <t>Материјал за дезинфекцију</t>
  </si>
  <si>
    <t>Медицински кисеоник</t>
  </si>
  <si>
    <t>Материјал за лабораторијске тестове</t>
  </si>
  <si>
    <t xml:space="preserve">Лекови </t>
  </si>
  <si>
    <t>Лекови у ЗУ</t>
  </si>
  <si>
    <t>Соматулин, Сандостатин</t>
  </si>
  <si>
    <t>Остали медицински материјали</t>
  </si>
  <si>
    <t>Стоматолошки потрошни материјал</t>
  </si>
  <si>
    <t>II.6.5</t>
  </si>
  <si>
    <t>II.6.5.1</t>
  </si>
  <si>
    <t>Средства за оржавање хигијене</t>
  </si>
  <si>
    <t>II.6.5.2</t>
  </si>
  <si>
    <t>II.6.5.3</t>
  </si>
  <si>
    <t>Текстилни материјал</t>
  </si>
  <si>
    <t>II.6.6</t>
  </si>
  <si>
    <t>Материјали за посебне намене</t>
  </si>
  <si>
    <t>II.6.6.1</t>
  </si>
  <si>
    <t>II.6.6.2</t>
  </si>
  <si>
    <t>Резервни делови</t>
  </si>
  <si>
    <t>II.6.6.3</t>
  </si>
  <si>
    <t>Остали резервни делови</t>
  </si>
  <si>
    <t>Резервни делови за медицинску опрему</t>
  </si>
  <si>
    <t>Електро материјал</t>
  </si>
  <si>
    <t>Водоводни материјал</t>
  </si>
  <si>
    <t>Браварско лимарски материјал</t>
  </si>
  <si>
    <t>Материјал за котларницу</t>
  </si>
  <si>
    <t>Молерски материјал</t>
  </si>
  <si>
    <t>Остали технички материјал</t>
  </si>
  <si>
    <t>ОТПЛАТА КАМАТА И ТЕКУЋИ ТРОШКОВИ ЗАДУЖИВАЊА</t>
  </si>
  <si>
    <t>Казне за кашњење</t>
  </si>
  <si>
    <t>ПОРЕЗИ, ОБАВЕЗНЕ ТАКСЕ, КАЗНЕ И ПЕНАЛИ</t>
  </si>
  <si>
    <t>Регистрација возила</t>
  </si>
  <si>
    <t>Републичке таксе</t>
  </si>
  <si>
    <t>Судске таксе</t>
  </si>
  <si>
    <t>НОВЧАНЕ КАЗНЕ И ПЕНАЛИ ПО РЕШЕЊУ СУДОВА</t>
  </si>
  <si>
    <t>IV</t>
  </si>
  <si>
    <t>510000</t>
  </si>
  <si>
    <t>ОСНОВНА СРЕДСТВА</t>
  </si>
  <si>
    <t>Медицинска опрема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</si>
  <si>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</si>
  <si>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</si>
  <si>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</si>
  <si>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 xml:space="preserve">Износ планираних расхода и издатака </t>
  </si>
  <si>
    <t>V</t>
  </si>
  <si>
    <t>Новчане казне и пенали по решењу судова</t>
  </si>
  <si>
    <t>741000</t>
  </si>
  <si>
    <t xml:space="preserve">ПРИХОДИ  </t>
  </si>
  <si>
    <t>Осигурање опреме</t>
  </si>
  <si>
    <t>Накнаде члановима управних и надзорних одбора</t>
  </si>
  <si>
    <t>II.1.5.4</t>
  </si>
  <si>
    <t>Закуп медицинске и лабораторијске опреме</t>
  </si>
  <si>
    <t>I.5.3</t>
  </si>
  <si>
    <t>II.1.6.1</t>
  </si>
  <si>
    <t>II.3.8</t>
  </si>
  <si>
    <t>Накнаде трошкова за превоз на посао и са посла по путном налогу</t>
  </si>
  <si>
    <t>Остале стручне услуге - волонтери</t>
  </si>
  <si>
    <t>Мерни и контролни инструменти</t>
  </si>
  <si>
    <t>Остали санитетски материјал</t>
  </si>
  <si>
    <t>ЗАКУП ИМОВИНЕ И ОПРЕМЕ</t>
  </si>
  <si>
    <t>II.6.1.5</t>
  </si>
  <si>
    <t>Пропан бутан у боцама и течни азот</t>
  </si>
  <si>
    <t>Текуће поправке и одржавање мерних и контролних инструмената</t>
  </si>
  <si>
    <t>II.5.1.10</t>
  </si>
  <si>
    <t>II.4.2.1</t>
  </si>
  <si>
    <t>II.4.2.</t>
  </si>
  <si>
    <t>II.1.4.4</t>
  </si>
  <si>
    <t>II.1.4.5</t>
  </si>
  <si>
    <t>II.1.4.6</t>
  </si>
  <si>
    <t>Цвеће и зеленило</t>
  </si>
  <si>
    <t>ДОМ ЗДРАВЉА "ЧАЧАК" ЧАЧАК</t>
  </si>
  <si>
    <t>I.2.</t>
  </si>
  <si>
    <t>I.5.</t>
  </si>
  <si>
    <t>Поштанске услуге</t>
  </si>
  <si>
    <t>Услуге прања веша</t>
  </si>
  <si>
    <t>Капитално одржавање</t>
  </si>
  <si>
    <t>САСТАВИЛА</t>
  </si>
  <si>
    <t>_______________________________</t>
  </si>
  <si>
    <t>Радови на комуникационим инсталацијама</t>
  </si>
  <si>
    <t>Со за путеве</t>
  </si>
  <si>
    <t>Сервис возила</t>
  </si>
  <si>
    <t>Уградна опрема</t>
  </si>
  <si>
    <t>Сервис уградне опреме</t>
  </si>
  <si>
    <t>Остале медицинске услуге</t>
  </si>
  <si>
    <t>УКУПНИ ПРИХОДИ И ПРИМАЊА  I+II+III+IV+V</t>
  </si>
  <si>
    <t>МЕМОРАНДУМСКЕ СТАВКЕ ЗА РЕФУНДАЦИЈУ РАСХОДА</t>
  </si>
  <si>
    <t>781111</t>
  </si>
  <si>
    <t>ТРАНСФЕРИ ИЗМЕЂУ БУЏЕТСКИХ КОРИСНИКА НА ИСТОМ НИВОУ</t>
  </si>
  <si>
    <t>I.2.2</t>
  </si>
  <si>
    <t>I.2.3</t>
  </si>
  <si>
    <t>I.3.</t>
  </si>
  <si>
    <t>I.3.1</t>
  </si>
  <si>
    <t>1.4.1</t>
  </si>
  <si>
    <t>1.4.1.1</t>
  </si>
  <si>
    <t>1.4.1.2</t>
  </si>
  <si>
    <t>I.4.2.1</t>
  </si>
  <si>
    <t>I.4.2.2</t>
  </si>
  <si>
    <t>Отпремнине и помоћи</t>
  </si>
  <si>
    <t>I.6.1</t>
  </si>
  <si>
    <t>I.6.2</t>
  </si>
  <si>
    <t>РАСХОДИ ЗА ЗАПОСЛЕНЕ (1+2+3+4+5+6)</t>
  </si>
  <si>
    <t>I.6.</t>
  </si>
  <si>
    <t>1.4.</t>
  </si>
  <si>
    <t>I.1.</t>
  </si>
  <si>
    <t>II.1.1.</t>
  </si>
  <si>
    <t>II.1.1.1</t>
  </si>
  <si>
    <t>II.2.2.1</t>
  </si>
  <si>
    <t>II.2.2.2</t>
  </si>
  <si>
    <t>II.2.2.3</t>
  </si>
  <si>
    <t>Административне услуге</t>
  </si>
  <si>
    <t>II.3.1.1</t>
  </si>
  <si>
    <t>Остале административне услуге</t>
  </si>
  <si>
    <t>Услуге одржавања софтвера</t>
  </si>
  <si>
    <t>Компјутерске услуге</t>
  </si>
  <si>
    <t xml:space="preserve">Услуге образовања и усавршавања   </t>
  </si>
  <si>
    <t>Услуге информисања</t>
  </si>
  <si>
    <t xml:space="preserve">Стручне услуге  </t>
  </si>
  <si>
    <t>II.3.5.1</t>
  </si>
  <si>
    <t>II.3.5.2</t>
  </si>
  <si>
    <t>II.3.5.3</t>
  </si>
  <si>
    <t>Остале стручне услуге - надзор</t>
  </si>
  <si>
    <t>Услуге за домаћинство и угоститељство</t>
  </si>
  <si>
    <t>II.3.6.1</t>
  </si>
  <si>
    <t>II.3.7.1</t>
  </si>
  <si>
    <t>II.3.8.1</t>
  </si>
  <si>
    <t>Остале специјализоване услуге</t>
  </si>
  <si>
    <t>Остале специјализоиване  услуге - медицина рада</t>
  </si>
  <si>
    <t>Текуће поправке и одржавање објеката</t>
  </si>
  <si>
    <t>II.5.2.4.1</t>
  </si>
  <si>
    <t>II.5.2.4.2</t>
  </si>
  <si>
    <t>II.5.2.4.3</t>
  </si>
  <si>
    <t>II.5.2.4.4</t>
  </si>
  <si>
    <t>Материјали за образовање и усавршавање запослених</t>
  </si>
  <si>
    <t>II.6.2.1</t>
  </si>
  <si>
    <t>МАТЕРИЈАЛИ ЗА ОДРЖАВАЊЕ ХИГИЈЕНЕ И УГОСТИТЕЉСТВО</t>
  </si>
  <si>
    <t>VI</t>
  </si>
  <si>
    <t>II.3.3.3</t>
  </si>
  <si>
    <t>Порез на добит правних лица</t>
  </si>
  <si>
    <t>Остале поправке опреме за саобраћај</t>
  </si>
  <si>
    <t>Одлагање медицинског отпада</t>
  </si>
  <si>
    <t>Медицинске услуге</t>
  </si>
  <si>
    <t>Остали материјал за очување животне средине</t>
  </si>
  <si>
    <t>Материјали за очување животне средине</t>
  </si>
  <si>
    <t>Инвентар за одржавање хигијене</t>
  </si>
  <si>
    <t>Поклони</t>
  </si>
  <si>
    <t>II.3.7.2</t>
  </si>
  <si>
    <t>II.6.5.1.1</t>
  </si>
  <si>
    <t>II.6.5.1.2</t>
  </si>
  <si>
    <t>II.6.5.1.3</t>
  </si>
  <si>
    <t>II.6.5.3.1</t>
  </si>
  <si>
    <t>II.6.5.3.2</t>
  </si>
  <si>
    <t>II.6.5.4</t>
  </si>
  <si>
    <t>II.6.5.4.1</t>
  </si>
  <si>
    <t>II.6.5.4.2</t>
  </si>
  <si>
    <t>II.6.7</t>
  </si>
  <si>
    <t>II.6.7.1</t>
  </si>
  <si>
    <t>II.6.7.2</t>
  </si>
  <si>
    <t>II.6.7.3</t>
  </si>
  <si>
    <t>II.6.7.4</t>
  </si>
  <si>
    <t>II.6.7.5</t>
  </si>
  <si>
    <t>II.6.7.6</t>
  </si>
  <si>
    <t>II.6.7.7</t>
  </si>
  <si>
    <t>II.6.7.8</t>
  </si>
  <si>
    <t>II.6.7.9</t>
  </si>
  <si>
    <t>II.6.7.10</t>
  </si>
  <si>
    <t>II.6.7.11</t>
  </si>
  <si>
    <t>V.1.</t>
  </si>
  <si>
    <t>VI.1.1</t>
  </si>
  <si>
    <t>VI.1.2</t>
  </si>
  <si>
    <t>VI.1.3</t>
  </si>
  <si>
    <t>VI.1.4</t>
  </si>
  <si>
    <t>Телефони</t>
  </si>
  <si>
    <t>Дневнице (исхрана) за путовање у оквиру редовног рада</t>
  </si>
  <si>
    <t>Трошкови путовања у оквиру редовног рада (по путном налогу)</t>
  </si>
  <si>
    <t>Трошкови путовања у оквиру редовног рада (путарина)</t>
  </si>
  <si>
    <t>II.2.2.4</t>
  </si>
  <si>
    <t>Трошкови путовања у оквиру редовног рада (замена посла)</t>
  </si>
  <si>
    <t>II.2.2.5</t>
  </si>
  <si>
    <t>II.2.2.6</t>
  </si>
  <si>
    <t>Трошкови путовања у оквиру редовног рада (рад у две амбуланте)</t>
  </si>
  <si>
    <t>Радио веза</t>
  </si>
  <si>
    <t>Маријана Вранеш</t>
  </si>
  <si>
    <t>шеф рачуноводства</t>
  </si>
  <si>
    <t>НАЧЕЛНИК</t>
  </si>
  <si>
    <t>Весна Малетић</t>
  </si>
  <si>
    <t>Едукација запослених</t>
  </si>
  <si>
    <t>Остале услуге комуникација</t>
  </si>
  <si>
    <t>II.1.4.7</t>
  </si>
  <si>
    <t>ОСТАЛЕ ДОТАЦИЈЕ И ТРАНСФЕРИ</t>
  </si>
  <si>
    <t>Остале текуће дотације по закону - инвалиди</t>
  </si>
  <si>
    <t>Текуће поправке и одржавање опреме за јавну бетбедност</t>
  </si>
  <si>
    <t>др Александар Пајовић</t>
  </si>
  <si>
    <t>II.5.2.4.5</t>
  </si>
  <si>
    <t>Остале стручне услуге</t>
  </si>
  <si>
    <t>Пошта доплатне марке</t>
  </si>
  <si>
    <t>Помоћ у медицинском лечењу запосленог или члана уже породице</t>
  </si>
  <si>
    <t>Интернет и слично</t>
  </si>
  <si>
    <t>II.3.5.4</t>
  </si>
  <si>
    <t>Помоћ у медицинском лечењу запосленог или чланова уже породице и друге помоћи запосленом</t>
  </si>
  <si>
    <t>I.4.3</t>
  </si>
  <si>
    <t>I.4.3.1</t>
  </si>
  <si>
    <t>II.4.3.</t>
  </si>
  <si>
    <t>II.4.3.1</t>
  </si>
  <si>
    <t>Услуге очувања животне средине, науке и геодетске услуге</t>
  </si>
  <si>
    <t>Услуге очувања животне средине</t>
  </si>
  <si>
    <t>ДОТАЦИЈЕ ОСТАЛИМ НЕПРОФИТНИМ ИНСТИТУЦИЈАМА</t>
  </si>
  <si>
    <t xml:space="preserve">Дотације осталим непрофитним институцијама </t>
  </si>
  <si>
    <t>Износ планираних прихода и примања</t>
  </si>
  <si>
    <t>IV.1</t>
  </si>
  <si>
    <t>VII</t>
  </si>
  <si>
    <t>VII.1.</t>
  </si>
  <si>
    <t>VIII</t>
  </si>
  <si>
    <t>VIII.1</t>
  </si>
  <si>
    <t>VIII.1.1</t>
  </si>
  <si>
    <t>VIII.1.2</t>
  </si>
  <si>
    <t>VIII.1.3</t>
  </si>
  <si>
    <t>VIII.1.4</t>
  </si>
  <si>
    <t>VIII.1.5</t>
  </si>
  <si>
    <t>VIII.1.6</t>
  </si>
  <si>
    <t>VIII.1.7</t>
  </si>
  <si>
    <t>VIII.1.8</t>
  </si>
  <si>
    <t>VIII.1.9</t>
  </si>
  <si>
    <t>УКУПНИ РАСХОДИ И ИЗДАЦИ I+II+III+IV+V+VI+VII+VIII</t>
  </si>
  <si>
    <t>II.1.3.4</t>
  </si>
  <si>
    <t>Услуге чишћења</t>
  </si>
  <si>
    <t>Остали материјал за одржавање хигијене</t>
  </si>
  <si>
    <t>II.6.6.4</t>
  </si>
  <si>
    <t>ПРЕНЕТА СРЕДСТВА ИЗ 2017. ГОДИНЕ</t>
  </si>
  <si>
    <t>5=6+7+8+9</t>
  </si>
  <si>
    <t>Мешовити и неодређени приходи</t>
  </si>
  <si>
    <t>Радна униформа</t>
  </si>
  <si>
    <t>Санитетко возило</t>
  </si>
  <si>
    <t>Инвалидност другог степена</t>
  </si>
  <si>
    <t>1.4.1.3</t>
  </si>
  <si>
    <t>10=11+12+13+14</t>
  </si>
  <si>
    <t>VII.2.</t>
  </si>
  <si>
    <t>Новчане казне и пенали по решењу судова ВАНСУДСКО ПОРАВНАЊЕ</t>
  </si>
  <si>
    <t>VII.3.</t>
  </si>
  <si>
    <t>Новчане казне и пенали по решењу судова КАМАТЕ</t>
  </si>
  <si>
    <t>Републичке казне</t>
  </si>
  <si>
    <t>Општинске таксе</t>
  </si>
  <si>
    <t>VI.1.5</t>
  </si>
  <si>
    <t>VI.1.6</t>
  </si>
  <si>
    <t>Радио станица са припадајућом опремом</t>
  </si>
  <si>
    <t>VIII.1.10</t>
  </si>
  <si>
    <t xml:space="preserve">Опрема за домаћинство  </t>
  </si>
  <si>
    <t>Компјутерски софтвер</t>
  </si>
  <si>
    <t>VIII.1.11</t>
  </si>
  <si>
    <t xml:space="preserve"> </t>
  </si>
  <si>
    <t>в.д. ДИРЕКТОРА</t>
  </si>
  <si>
    <t xml:space="preserve">II РЕБАЛАНС ФИНАНСИЈСКОГ ПЛАНА ЗА 2018. ГОДИНУ </t>
  </si>
  <si>
    <t>Износ планираних прихода и примања  II ребаланс</t>
  </si>
  <si>
    <t>Износ планираних расхода и издатака II ребаланс</t>
  </si>
  <si>
    <t>I.3.2</t>
  </si>
  <si>
    <t>Поклони за децу запослених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</si>
</sst>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000"/>
    <numFmt numFmtId="186" formatCode="#,##0.00\ &quot;Din&quot;"/>
    <numFmt numFmtId="187" formatCode="#,##0.00000"/>
    <numFmt numFmtId="188" formatCode="#,##0.000"/>
    <numFmt numFmtId="189" formatCode="[$-409]dddd\,\ mmmm\ dd\,\ yyyy"/>
    <numFmt numFmtId="190" formatCode="#,##0.0000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12"/>
      <color indexed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10"/>
      <name val="Cambria"/>
      <family val="1"/>
    </font>
    <font>
      <b/>
      <sz val="8"/>
      <color indexed="8"/>
      <name val="Cambria"/>
      <family val="1"/>
    </font>
    <font>
      <sz val="7.5"/>
      <name val="Cambria"/>
      <family val="1"/>
    </font>
    <font>
      <sz val="7.5"/>
      <color indexed="8"/>
      <name val="Cambria"/>
      <family val="1"/>
    </font>
    <font>
      <b/>
      <i/>
      <sz val="9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8"/>
      <name val="Tahoma"/>
      <family val="2"/>
    </font>
    <font>
      <b/>
      <sz val="8"/>
      <name val="Tahoma"/>
      <family val="2"/>
    </font>
    <font>
      <b/>
      <sz val="30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double"/>
      <bottom>
        <color indexed="63"/>
      </bottom>
    </border>
    <border>
      <left/>
      <right/>
      <top style="double"/>
      <bottom style="double"/>
    </border>
    <border>
      <left/>
      <right style="thin"/>
      <top style="double"/>
      <bottom>
        <color indexed="63"/>
      </bottom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 style="thin"/>
      <top style="double"/>
      <bottom style="double"/>
    </border>
    <border>
      <left/>
      <right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5" fillId="0" borderId="10" xfId="57" applyFont="1" applyFill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180" fontId="5" fillId="0" borderId="10" xfId="57" applyNumberFormat="1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180" fontId="3" fillId="0" borderId="10" xfId="57" applyNumberFormat="1" applyFont="1" applyFill="1" applyBorder="1" applyAlignment="1">
      <alignment horizontal="right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3" fontId="5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57" applyNumberFormat="1" applyFont="1" applyFill="1" applyBorder="1" applyAlignment="1">
      <alignment vertical="center"/>
      <protection/>
    </xf>
    <xf numFmtId="0" fontId="5" fillId="0" borderId="11" xfId="57" applyFont="1" applyFill="1" applyBorder="1" applyAlignment="1" applyProtection="1">
      <alignment horizontal="center" vertical="center" wrapText="1"/>
      <protection/>
    </xf>
    <xf numFmtId="0" fontId="3" fillId="0" borderId="12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vertical="center" wrapText="1"/>
      <protection/>
    </xf>
    <xf numFmtId="49" fontId="5" fillId="0" borderId="13" xfId="57" applyNumberFormat="1" applyFont="1" applyFill="1" applyBorder="1" applyAlignment="1">
      <alignment horizontal="center" vertic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 applyProtection="1">
      <alignment vertical="center" wrapText="1"/>
      <protection/>
    </xf>
    <xf numFmtId="0" fontId="3" fillId="0" borderId="15" xfId="57" applyFont="1" applyFill="1" applyBorder="1" applyAlignment="1" applyProtection="1">
      <alignment vertical="center" wrapText="1"/>
      <protection/>
    </xf>
    <xf numFmtId="0" fontId="3" fillId="0" borderId="11" xfId="57" applyFont="1" applyFill="1" applyBorder="1" applyAlignment="1" applyProtection="1">
      <alignment vertical="center" wrapText="1"/>
      <protection/>
    </xf>
    <xf numFmtId="49" fontId="5" fillId="0" borderId="0" xfId="57" applyNumberFormat="1" applyFont="1" applyFill="1" applyBorder="1" applyAlignment="1" applyProtection="1">
      <alignment horizontal="center" vertical="center" wrapText="1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49" fontId="5" fillId="0" borderId="15" xfId="57" applyNumberFormat="1" applyFont="1" applyFill="1" applyBorder="1" applyAlignment="1" applyProtection="1">
      <alignment vertical="center" wrapText="1"/>
      <protection/>
    </xf>
    <xf numFmtId="0" fontId="3" fillId="0" borderId="17" xfId="57" applyFont="1" applyFill="1" applyBorder="1" applyAlignment="1" applyProtection="1">
      <alignment vertical="center" wrapText="1"/>
      <protection/>
    </xf>
    <xf numFmtId="3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vertical="center" wrapText="1"/>
    </xf>
    <xf numFmtId="49" fontId="5" fillId="0" borderId="13" xfId="57" applyNumberFormat="1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vertical="center"/>
    </xf>
    <xf numFmtId="0" fontId="3" fillId="0" borderId="10" xfId="57" applyFont="1" applyFill="1" applyBorder="1" applyAlignment="1">
      <alignment vertical="center"/>
      <protection/>
    </xf>
    <xf numFmtId="49" fontId="5" fillId="0" borderId="18" xfId="57" applyNumberFormat="1" applyFont="1" applyFill="1" applyBorder="1" applyAlignment="1">
      <alignment horizontal="center" vertical="center" wrapText="1"/>
      <protection/>
    </xf>
    <xf numFmtId="49" fontId="5" fillId="0" borderId="14" xfId="57" applyNumberFormat="1" applyFont="1" applyFill="1" applyBorder="1" applyAlignment="1" applyProtection="1">
      <alignment vertical="center" wrapText="1"/>
      <protection/>
    </xf>
    <xf numFmtId="49" fontId="5" fillId="0" borderId="11" xfId="57" applyNumberFormat="1" applyFont="1" applyFill="1" applyBorder="1" applyAlignment="1" applyProtection="1">
      <alignment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 applyProtection="1">
      <alignment horizontal="center" vertical="center" wrapText="1"/>
      <protection/>
    </xf>
    <xf numFmtId="0" fontId="5" fillId="0" borderId="14" xfId="57" applyFont="1" applyFill="1" applyBorder="1" applyAlignment="1" applyProtection="1">
      <alignment horizontal="center" vertical="center" wrapText="1"/>
      <protection/>
    </xf>
    <xf numFmtId="49" fontId="5" fillId="0" borderId="11" xfId="57" applyNumberFormat="1" applyFont="1" applyFill="1" applyBorder="1" applyAlignment="1" applyProtection="1">
      <alignment horizontal="center" vertical="center" wrapText="1"/>
      <protection/>
    </xf>
    <xf numFmtId="49" fontId="5" fillId="0" borderId="15" xfId="57" applyNumberFormat="1" applyFont="1" applyFill="1" applyBorder="1" applyAlignment="1" applyProtection="1">
      <alignment horizontal="center" vertical="center" wrapText="1"/>
      <protection/>
    </xf>
    <xf numFmtId="49" fontId="5" fillId="0" borderId="19" xfId="57" applyNumberFormat="1" applyFont="1" applyFill="1" applyBorder="1" applyAlignment="1" applyProtection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17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5" fillId="0" borderId="0" xfId="57" applyFont="1" applyFill="1" applyAlignment="1" quotePrefix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0" borderId="0" xfId="57" applyFont="1" applyFill="1" applyAlignment="1">
      <alignment horizontal="left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vertical="center"/>
      <protection/>
    </xf>
    <xf numFmtId="0" fontId="3" fillId="0" borderId="15" xfId="57" applyFont="1" applyFill="1" applyBorder="1" applyAlignment="1">
      <alignment vertical="center"/>
      <protection/>
    </xf>
    <xf numFmtId="0" fontId="3" fillId="0" borderId="11" xfId="57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3" fontId="5" fillId="0" borderId="10" xfId="57" applyNumberFormat="1" applyFont="1" applyFill="1" applyBorder="1" applyAlignment="1">
      <alignment vertical="center"/>
      <protection/>
    </xf>
    <xf numFmtId="0" fontId="5" fillId="0" borderId="12" xfId="57" applyFont="1" applyFill="1" applyBorder="1" applyAlignment="1" applyProtection="1">
      <alignment horizontal="center" vertical="center" wrapText="1"/>
      <protection/>
    </xf>
    <xf numFmtId="0" fontId="3" fillId="0" borderId="22" xfId="57" applyFont="1" applyFill="1" applyBorder="1" applyAlignment="1" applyProtection="1">
      <alignment vertical="center" wrapText="1"/>
      <protection/>
    </xf>
    <xf numFmtId="0" fontId="3" fillId="0" borderId="16" xfId="57" applyFont="1" applyFill="1" applyBorder="1" applyAlignment="1" applyProtection="1">
      <alignment vertical="center" wrapText="1"/>
      <protection/>
    </xf>
    <xf numFmtId="49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57" applyFont="1" applyFill="1" applyBorder="1" applyAlignment="1">
      <alignment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3" fillId="0" borderId="22" xfId="57" applyFont="1" applyFill="1" applyBorder="1" applyAlignment="1">
      <alignment vertical="center" wrapText="1"/>
      <protection/>
    </xf>
    <xf numFmtId="0" fontId="3" fillId="0" borderId="16" xfId="57" applyFont="1" applyFill="1" applyBorder="1" applyAlignment="1">
      <alignment vertical="center" wrapText="1"/>
      <protection/>
    </xf>
    <xf numFmtId="49" fontId="5" fillId="0" borderId="14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/>
      <protection/>
    </xf>
    <xf numFmtId="49" fontId="5" fillId="0" borderId="20" xfId="57" applyNumberFormat="1" applyFont="1" applyFill="1" applyBorder="1" applyAlignment="1" applyProtection="1">
      <alignment horizontal="center" vertical="center" wrapText="1"/>
      <protection/>
    </xf>
    <xf numFmtId="0" fontId="3" fillId="0" borderId="12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5" fillId="0" borderId="14" xfId="57" applyFont="1" applyFill="1" applyBorder="1" applyAlignment="1">
      <alignment vertical="center" wrapText="1"/>
      <protection/>
    </xf>
    <xf numFmtId="0" fontId="5" fillId="0" borderId="15" xfId="57" applyFont="1" applyFill="1" applyBorder="1" applyAlignment="1">
      <alignment vertical="center" wrapText="1"/>
      <protection/>
    </xf>
    <xf numFmtId="0" fontId="5" fillId="0" borderId="22" xfId="57" applyFont="1" applyFill="1" applyBorder="1" applyAlignment="1" applyProtection="1">
      <alignment horizontal="center" vertical="center" wrapText="1"/>
      <protection/>
    </xf>
    <xf numFmtId="0" fontId="5" fillId="0" borderId="17" xfId="57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3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5" fillId="0" borderId="16" xfId="57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/>
    </xf>
    <xf numFmtId="0" fontId="5" fillId="0" borderId="21" xfId="57" applyFont="1" applyFill="1" applyBorder="1" applyAlignment="1" applyProtection="1">
      <alignment horizontal="center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3" fontId="5" fillId="0" borderId="11" xfId="57" applyNumberFormat="1" applyFont="1" applyFill="1" applyBorder="1" applyAlignment="1">
      <alignment horizontal="right" vertical="center" wrapText="1"/>
      <protection/>
    </xf>
    <xf numFmtId="0" fontId="3" fillId="0" borderId="14" xfId="57" applyFont="1" applyFill="1" applyBorder="1" applyAlignment="1" applyProtection="1">
      <alignment horizontal="center" vertical="center" wrapText="1"/>
      <protection/>
    </xf>
    <xf numFmtId="3" fontId="3" fillId="0" borderId="14" xfId="57" applyNumberFormat="1" applyFont="1" applyFill="1" applyBorder="1" applyAlignment="1">
      <alignment horizontal="right" vertical="center" wrapText="1"/>
      <protection/>
    </xf>
    <xf numFmtId="3" fontId="3" fillId="0" borderId="14" xfId="57" applyNumberFormat="1" applyFont="1" applyFill="1" applyBorder="1" applyAlignment="1">
      <alignment vertical="center"/>
      <protection/>
    </xf>
    <xf numFmtId="3" fontId="3" fillId="0" borderId="14" xfId="57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57" applyNumberFormat="1" applyFont="1" applyFill="1" applyBorder="1" applyAlignment="1">
      <alignment horizontal="right" vertical="center" wrapText="1"/>
      <protection/>
    </xf>
    <xf numFmtId="3" fontId="3" fillId="0" borderId="11" xfId="57" applyNumberFormat="1" applyFont="1" applyFill="1" applyBorder="1" applyAlignment="1" applyProtection="1">
      <alignment horizontal="right" vertical="center" wrapText="1"/>
      <protection locked="0"/>
    </xf>
    <xf numFmtId="3" fontId="3" fillId="0" borderId="15" xfId="57" applyNumberFormat="1" applyFont="1" applyFill="1" applyBorder="1" applyAlignment="1">
      <alignment horizontal="right" vertical="center" wrapText="1"/>
      <protection/>
    </xf>
    <xf numFmtId="3" fontId="3" fillId="0" borderId="15" xfId="57" applyNumberFormat="1" applyFont="1" applyFill="1" applyBorder="1" applyAlignment="1" applyProtection="1">
      <alignment horizontal="right" vertical="center" wrapText="1"/>
      <protection locked="0"/>
    </xf>
    <xf numFmtId="0" fontId="14" fillId="0" borderId="14" xfId="57" applyFont="1" applyFill="1" applyBorder="1" applyAlignment="1">
      <alignment horizontal="center" vertical="center" wrapText="1"/>
      <protection/>
    </xf>
    <xf numFmtId="0" fontId="14" fillId="0" borderId="22" xfId="57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/>
      <protection/>
    </xf>
    <xf numFmtId="49" fontId="5" fillId="0" borderId="16" xfId="57" applyNumberFormat="1" applyFont="1" applyFill="1" applyBorder="1" applyAlignment="1">
      <alignment horizontal="center" vertical="center"/>
      <protection/>
    </xf>
    <xf numFmtId="180" fontId="5" fillId="0" borderId="11" xfId="57" applyNumberFormat="1" applyFont="1" applyFill="1" applyBorder="1" applyAlignment="1">
      <alignment horizontal="right" vertical="center" wrapText="1"/>
      <protection/>
    </xf>
    <xf numFmtId="0" fontId="5" fillId="0" borderId="23" xfId="57" applyFont="1" applyFill="1" applyBorder="1" applyAlignment="1">
      <alignment horizontal="center" vertical="center"/>
      <protection/>
    </xf>
    <xf numFmtId="49" fontId="5" fillId="0" borderId="23" xfId="57" applyNumberFormat="1" applyFont="1" applyFill="1" applyBorder="1" applyAlignment="1">
      <alignment horizontal="center" vertical="center"/>
      <protection/>
    </xf>
    <xf numFmtId="180" fontId="5" fillId="0" borderId="23" xfId="57" applyNumberFormat="1" applyFont="1" applyFill="1" applyBorder="1" applyAlignment="1">
      <alignment horizontal="right" vertical="center" wrapText="1"/>
      <protection/>
    </xf>
    <xf numFmtId="180" fontId="3" fillId="0" borderId="14" xfId="57" applyNumberFormat="1" applyFont="1" applyFill="1" applyBorder="1" applyAlignment="1">
      <alignment horizontal="right"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5" fillId="0" borderId="23" xfId="57" applyFont="1" applyFill="1" applyBorder="1" applyAlignment="1">
      <alignment horizontal="center" vertical="center" wrapText="1"/>
      <protection/>
    </xf>
    <xf numFmtId="180" fontId="5" fillId="0" borderId="23" xfId="57" applyNumberFormat="1" applyFont="1" applyFill="1" applyBorder="1" applyAlignment="1" applyProtection="1">
      <alignment horizontal="right" vertical="center" wrapText="1"/>
      <protection locked="0"/>
    </xf>
    <xf numFmtId="3" fontId="5" fillId="0" borderId="23" xfId="57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>
      <alignment vertical="center"/>
    </xf>
    <xf numFmtId="0" fontId="5" fillId="0" borderId="24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vertical="center"/>
      <protection/>
    </xf>
    <xf numFmtId="2" fontId="3" fillId="0" borderId="13" xfId="57" applyNumberFormat="1" applyFont="1" applyFill="1" applyBorder="1" applyAlignment="1">
      <alignment vertical="center" wrapText="1"/>
      <protection/>
    </xf>
    <xf numFmtId="0" fontId="3" fillId="0" borderId="16" xfId="57" applyFont="1" applyFill="1" applyBorder="1" applyAlignment="1">
      <alignment vertical="center" wrapText="1"/>
      <protection/>
    </xf>
    <xf numFmtId="49" fontId="5" fillId="0" borderId="20" xfId="57" applyNumberFormat="1" applyFont="1" applyFill="1" applyBorder="1" applyAlignment="1" applyProtection="1">
      <alignment vertical="center" wrapText="1"/>
      <protection/>
    </xf>
    <xf numFmtId="49" fontId="5" fillId="0" borderId="19" xfId="57" applyNumberFormat="1" applyFont="1" applyFill="1" applyBorder="1" applyAlignment="1" applyProtection="1">
      <alignment vertical="center" wrapText="1"/>
      <protection/>
    </xf>
    <xf numFmtId="3" fontId="5" fillId="0" borderId="0" xfId="57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49" fontId="3" fillId="0" borderId="19" xfId="57" applyNumberFormat="1" applyFont="1" applyFill="1" applyBorder="1" applyAlignment="1" applyProtection="1">
      <alignment horizontal="center" vertical="center" wrapText="1"/>
      <protection/>
    </xf>
    <xf numFmtId="0" fontId="5" fillId="0" borderId="25" xfId="57" applyFont="1" applyFill="1" applyBorder="1" applyAlignment="1">
      <alignment horizontal="center" vertical="center"/>
      <protection/>
    </xf>
    <xf numFmtId="0" fontId="5" fillId="0" borderId="25" xfId="57" applyFont="1" applyFill="1" applyBorder="1" applyAlignment="1">
      <alignment horizontal="center" vertical="center" wrapText="1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0" borderId="25" xfId="57" applyFont="1" applyFill="1" applyBorder="1" applyAlignment="1">
      <alignment horizontal="center" vertical="center" wrapText="1"/>
      <protection/>
    </xf>
    <xf numFmtId="49" fontId="3" fillId="0" borderId="13" xfId="57" applyNumberFormat="1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3" fontId="5" fillId="0" borderId="23" xfId="57" applyNumberFormat="1" applyFont="1" applyFill="1" applyBorder="1" applyAlignment="1">
      <alignment horizontal="right" vertical="center" wrapText="1"/>
      <protection/>
    </xf>
    <xf numFmtId="0" fontId="5" fillId="0" borderId="23" xfId="57" applyFont="1" applyFill="1" applyBorder="1" applyAlignment="1" applyProtection="1">
      <alignment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vertical="center" wrapText="1"/>
      <protection/>
    </xf>
    <xf numFmtId="0" fontId="5" fillId="0" borderId="23" xfId="57" applyFont="1" applyFill="1" applyBorder="1" applyAlignment="1" applyProtection="1">
      <alignment horizontal="center" vertical="center" wrapText="1"/>
      <protection/>
    </xf>
    <xf numFmtId="49" fontId="5" fillId="0" borderId="23" xfId="57" applyNumberFormat="1" applyFont="1" applyFill="1" applyBorder="1" applyAlignment="1" applyProtection="1">
      <alignment horizontal="center" vertical="center" wrapText="1"/>
      <protection/>
    </xf>
    <xf numFmtId="49" fontId="5" fillId="0" borderId="24" xfId="57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 vertical="center"/>
    </xf>
    <xf numFmtId="0" fontId="3" fillId="0" borderId="17" xfId="57" applyFont="1" applyFill="1" applyBorder="1" applyAlignment="1">
      <alignment vertical="center" wrapText="1"/>
      <protection/>
    </xf>
    <xf numFmtId="0" fontId="3" fillId="0" borderId="17" xfId="57" applyFont="1" applyFill="1" applyBorder="1" applyAlignment="1">
      <alignment vertical="center"/>
      <protection/>
    </xf>
    <xf numFmtId="0" fontId="12" fillId="0" borderId="17" xfId="57" applyFont="1" applyFill="1" applyBorder="1" applyAlignment="1">
      <alignment vertical="center"/>
      <protection/>
    </xf>
    <xf numFmtId="180" fontId="3" fillId="0" borderId="11" xfId="57" applyNumberFormat="1" applyFont="1" applyFill="1" applyBorder="1" applyAlignment="1">
      <alignment horizontal="right" vertical="center" wrapText="1"/>
      <protection/>
    </xf>
    <xf numFmtId="0" fontId="60" fillId="0" borderId="0" xfId="0" applyFont="1" applyFill="1" applyAlignment="1">
      <alignment vertical="center" wrapText="1"/>
    </xf>
    <xf numFmtId="0" fontId="61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vertical="center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vertical="center" wrapText="1"/>
      <protection/>
    </xf>
    <xf numFmtId="0" fontId="5" fillId="0" borderId="26" xfId="57" applyFont="1" applyFill="1" applyBorder="1" applyAlignment="1" applyProtection="1">
      <alignment vertical="center" wrapText="1"/>
      <protection/>
    </xf>
    <xf numFmtId="0" fontId="18" fillId="0" borderId="0" xfId="57" applyFont="1" applyFill="1" applyBorder="1" applyAlignment="1">
      <alignment horizontal="right" vertical="center" wrapText="1"/>
      <protection/>
    </xf>
    <xf numFmtId="0" fontId="7" fillId="0" borderId="0" xfId="0" applyFont="1" applyFill="1" applyBorder="1" applyAlignment="1">
      <alignment/>
    </xf>
    <xf numFmtId="0" fontId="5" fillId="0" borderId="0" xfId="57" applyFont="1" applyFill="1" applyBorder="1" applyAlignment="1">
      <alignment horizontal="right" vertical="center" wrapText="1"/>
      <protection/>
    </xf>
    <xf numFmtId="180" fontId="3" fillId="0" borderId="10" xfId="57" applyNumberFormat="1" applyFont="1" applyFill="1" applyBorder="1" applyAlignment="1">
      <alignment horizontal="right" vertical="center" wrapText="1"/>
      <protection/>
    </xf>
    <xf numFmtId="0" fontId="3" fillId="0" borderId="22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22" fillId="0" borderId="0" xfId="57" applyFont="1" applyFill="1" applyBorder="1" applyAlignment="1">
      <alignment horizontal="left" vertical="center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3" fontId="5" fillId="0" borderId="25" xfId="57" applyNumberFormat="1" applyFont="1" applyFill="1" applyBorder="1" applyAlignment="1">
      <alignment horizontal="right" vertical="center" wrapText="1"/>
      <protection/>
    </xf>
    <xf numFmtId="3" fontId="5" fillId="0" borderId="25" xfId="57" applyNumberFormat="1" applyFont="1" applyFill="1" applyBorder="1" applyAlignment="1" applyProtection="1">
      <alignment horizontal="right" vertical="center" wrapText="1"/>
      <protection locked="0"/>
    </xf>
    <xf numFmtId="3" fontId="5" fillId="0" borderId="26" xfId="57" applyNumberFormat="1" applyFont="1" applyFill="1" applyBorder="1" applyAlignment="1">
      <alignment horizontal="right" vertical="center" wrapText="1"/>
      <protection/>
    </xf>
    <xf numFmtId="3" fontId="5" fillId="0" borderId="26" xfId="57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3" fontId="3" fillId="32" borderId="10" xfId="57" applyNumberFormat="1" applyFont="1" applyFill="1" applyBorder="1" applyAlignment="1">
      <alignment horizontal="right" vertical="center" wrapText="1"/>
      <protection/>
    </xf>
    <xf numFmtId="3" fontId="3" fillId="32" borderId="10" xfId="57" applyNumberFormat="1" applyFont="1" applyFill="1" applyBorder="1" applyAlignment="1" applyProtection="1">
      <alignment horizontal="right" vertical="center" wrapText="1"/>
      <protection locked="0"/>
    </xf>
    <xf numFmtId="49" fontId="3" fillId="32" borderId="12" xfId="57" applyNumberFormat="1" applyFont="1" applyFill="1" applyBorder="1" applyAlignment="1" applyProtection="1">
      <alignment horizontal="center" vertical="center" wrapText="1"/>
      <protection/>
    </xf>
    <xf numFmtId="0" fontId="3" fillId="32" borderId="16" xfId="57" applyFont="1" applyFill="1" applyBorder="1" applyAlignment="1">
      <alignment horizontal="center" vertical="center" wrapText="1"/>
      <protection/>
    </xf>
    <xf numFmtId="0" fontId="3" fillId="32" borderId="16" xfId="57" applyFont="1" applyFill="1" applyBorder="1" applyAlignment="1">
      <alignment vertical="center" wrapText="1"/>
      <protection/>
    </xf>
    <xf numFmtId="3" fontId="3" fillId="32" borderId="10" xfId="57" applyNumberFormat="1" applyFont="1" applyFill="1" applyBorder="1" applyAlignment="1">
      <alignment horizontal="right" vertical="center" wrapText="1"/>
      <protection/>
    </xf>
    <xf numFmtId="3" fontId="3" fillId="32" borderId="10" xfId="57" applyNumberFormat="1" applyFont="1" applyFill="1" applyBorder="1" applyAlignment="1" applyProtection="1">
      <alignment horizontal="right" vertical="center" wrapText="1"/>
      <protection locked="0"/>
    </xf>
    <xf numFmtId="0" fontId="3" fillId="32" borderId="12" xfId="57" applyFont="1" applyFill="1" applyBorder="1" applyAlignment="1">
      <alignment horizontal="center" vertical="center"/>
      <protection/>
    </xf>
    <xf numFmtId="0" fontId="3" fillId="32" borderId="13" xfId="57" applyFont="1" applyFill="1" applyBorder="1" applyAlignment="1">
      <alignment vertical="center" wrapText="1"/>
      <protection/>
    </xf>
    <xf numFmtId="0" fontId="4" fillId="32" borderId="13" xfId="0" applyFont="1" applyFill="1" applyBorder="1" applyAlignment="1">
      <alignment vertical="center" wrapText="1"/>
    </xf>
    <xf numFmtId="0" fontId="3" fillId="32" borderId="10" xfId="57" applyFont="1" applyFill="1" applyBorder="1" applyAlignment="1">
      <alignment vertical="center" wrapText="1"/>
      <protection/>
    </xf>
    <xf numFmtId="49" fontId="3" fillId="32" borderId="16" xfId="57" applyNumberFormat="1" applyFont="1" applyFill="1" applyBorder="1" applyAlignment="1" applyProtection="1">
      <alignment horizontal="center" vertical="center" wrapText="1"/>
      <protection/>
    </xf>
    <xf numFmtId="180" fontId="5" fillId="32" borderId="23" xfId="57" applyNumberFormat="1" applyFont="1" applyFill="1" applyBorder="1" applyAlignment="1">
      <alignment horizontal="right" vertical="center" wrapText="1"/>
      <protection/>
    </xf>
    <xf numFmtId="180" fontId="5" fillId="32" borderId="23" xfId="57" applyNumberFormat="1" applyFont="1" applyFill="1" applyBorder="1" applyAlignment="1" applyProtection="1">
      <alignment horizontal="right" vertical="center" wrapText="1"/>
      <protection locked="0"/>
    </xf>
    <xf numFmtId="3" fontId="5" fillId="32" borderId="23" xfId="57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>
      <alignment vertical="center" wrapText="1"/>
      <protection/>
    </xf>
    <xf numFmtId="49" fontId="5" fillId="32" borderId="23" xfId="57" applyNumberFormat="1" applyFont="1" applyFill="1" applyBorder="1" applyAlignment="1">
      <alignment horizontal="center" vertical="center" wrapText="1"/>
      <protection/>
    </xf>
    <xf numFmtId="0" fontId="23" fillId="0" borderId="0" xfId="57" applyFont="1" applyFill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0" fontId="3" fillId="0" borderId="14" xfId="57" applyFont="1" applyFill="1" applyBorder="1" applyAlignment="1" applyProtection="1">
      <alignment horizontal="center" vertical="center" wrapText="1"/>
      <protection/>
    </xf>
    <xf numFmtId="0" fontId="3" fillId="0" borderId="28" xfId="57" applyFont="1" applyFill="1" applyBorder="1" applyAlignment="1">
      <alignment vertical="center" wrapText="1"/>
      <protection/>
    </xf>
    <xf numFmtId="3" fontId="3" fillId="0" borderId="25" xfId="57" applyNumberFormat="1" applyFont="1" applyFill="1" applyBorder="1" applyAlignment="1">
      <alignment horizontal="right" vertical="center" wrapText="1"/>
      <protection/>
    </xf>
    <xf numFmtId="3" fontId="3" fillId="0" borderId="25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24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18" fillId="0" borderId="13" xfId="57" applyFont="1" applyFill="1" applyBorder="1" applyAlignment="1">
      <alignment horizontal="right" vertical="center" wrapText="1"/>
      <protection/>
    </xf>
    <xf numFmtId="0" fontId="18" fillId="0" borderId="18" xfId="57" applyFont="1" applyFill="1" applyBorder="1" applyAlignment="1">
      <alignment horizontal="right" vertical="center" wrapText="1"/>
      <protection/>
    </xf>
    <xf numFmtId="0" fontId="18" fillId="0" borderId="12" xfId="57" applyFont="1" applyFill="1" applyBorder="1" applyAlignment="1">
      <alignment horizontal="right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28" xfId="57" applyFont="1" applyFill="1" applyBorder="1" applyAlignment="1">
      <alignment horizontal="left" vertical="center" wrapText="1"/>
      <protection/>
    </xf>
    <xf numFmtId="0" fontId="5" fillId="0" borderId="30" xfId="57" applyFont="1" applyFill="1" applyBorder="1" applyAlignment="1">
      <alignment horizontal="left" vertical="center" wrapText="1"/>
      <protection/>
    </xf>
    <xf numFmtId="0" fontId="5" fillId="0" borderId="31" xfId="57" applyFont="1" applyFill="1" applyBorder="1" applyAlignment="1">
      <alignment horizontal="left" vertical="center" wrapText="1"/>
      <protection/>
    </xf>
    <xf numFmtId="0" fontId="5" fillId="0" borderId="32" xfId="57" applyFont="1" applyFill="1" applyBorder="1" applyAlignment="1">
      <alignment horizontal="left" vertical="center" wrapText="1"/>
      <protection/>
    </xf>
    <xf numFmtId="0" fontId="5" fillId="0" borderId="24" xfId="57" applyFont="1" applyFill="1" applyBorder="1" applyAlignment="1">
      <alignment horizontal="left" vertical="center" wrapText="1"/>
      <protection/>
    </xf>
    <xf numFmtId="0" fontId="5" fillId="0" borderId="33" xfId="57" applyFont="1" applyFill="1" applyBorder="1" applyAlignment="1">
      <alignment horizontal="left" vertical="center" wrapText="1"/>
      <protection/>
    </xf>
    <xf numFmtId="0" fontId="5" fillId="0" borderId="33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 applyProtection="1">
      <alignment horizontal="center" vertical="center" wrapText="1"/>
      <protection/>
    </xf>
    <xf numFmtId="49" fontId="5" fillId="0" borderId="20" xfId="57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0" fontId="16" fillId="0" borderId="16" xfId="57" applyFont="1" applyFill="1" applyBorder="1" applyAlignment="1">
      <alignment horizontal="left" vertical="center" wrapText="1"/>
      <protection/>
    </xf>
    <xf numFmtId="0" fontId="16" fillId="0" borderId="34" xfId="57" applyFont="1" applyFill="1" applyBorder="1" applyAlignment="1">
      <alignment horizontal="left" vertical="center" wrapText="1"/>
      <protection/>
    </xf>
    <xf numFmtId="49" fontId="5" fillId="0" borderId="21" xfId="57" applyNumberFormat="1" applyFont="1" applyFill="1" applyBorder="1" applyAlignment="1" applyProtection="1">
      <alignment horizontal="center" vertical="center" wrapText="1"/>
      <protection/>
    </xf>
    <xf numFmtId="49" fontId="5" fillId="0" borderId="14" xfId="57" applyNumberFormat="1" applyFont="1" applyFill="1" applyBorder="1" applyAlignment="1" applyProtection="1">
      <alignment horizontal="center" vertical="center" wrapText="1"/>
      <protection/>
    </xf>
    <xf numFmtId="49" fontId="5" fillId="0" borderId="15" xfId="57" applyNumberFormat="1" applyFont="1" applyFill="1" applyBorder="1" applyAlignment="1" applyProtection="1">
      <alignment horizontal="center" vertical="center" wrapText="1"/>
      <protection/>
    </xf>
    <xf numFmtId="0" fontId="5" fillId="0" borderId="17" xfId="57" applyFont="1" applyFill="1" applyBorder="1" applyAlignment="1" applyProtection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22" xfId="57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5" fillId="0" borderId="29" xfId="57" applyFont="1" applyFill="1" applyBorder="1" applyAlignment="1">
      <alignment horizontal="left" vertical="center" wrapText="1"/>
      <protection/>
    </xf>
    <xf numFmtId="0" fontId="5" fillId="0" borderId="22" xfId="57" applyFont="1" applyFill="1" applyBorder="1" applyAlignment="1">
      <alignment horizontal="left" vertical="center" wrapText="1"/>
      <protection/>
    </xf>
    <xf numFmtId="0" fontId="5" fillId="0" borderId="35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0" fontId="5" fillId="0" borderId="34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textRotation="90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textRotation="90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3" fillId="0" borderId="33" xfId="57" applyFont="1" applyFill="1" applyBorder="1" applyAlignment="1">
      <alignment horizontal="left" vertical="center" wrapText="1"/>
      <protection/>
    </xf>
    <xf numFmtId="0" fontId="5" fillId="32" borderId="24" xfId="57" applyFont="1" applyFill="1" applyBorder="1" applyAlignment="1">
      <alignment horizontal="left" vertical="center" wrapText="1"/>
      <protection/>
    </xf>
    <xf numFmtId="0" fontId="5" fillId="32" borderId="29" xfId="57" applyFont="1" applyFill="1" applyBorder="1" applyAlignment="1">
      <alignment horizontal="left" vertical="center" wrapText="1"/>
      <protection/>
    </xf>
    <xf numFmtId="0" fontId="18" fillId="0" borderId="16" xfId="57" applyFont="1" applyFill="1" applyBorder="1" applyAlignment="1">
      <alignment horizontal="right" vertical="center" wrapText="1"/>
      <protection/>
    </xf>
    <xf numFmtId="0" fontId="18" fillId="0" borderId="34" xfId="57" applyFont="1" applyFill="1" applyBorder="1" applyAlignment="1">
      <alignment horizontal="right" vertical="center" wrapText="1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textRotation="90" wrapText="1"/>
      <protection/>
    </xf>
    <xf numFmtId="0" fontId="3" fillId="0" borderId="15" xfId="57" applyFont="1" applyFill="1" applyBorder="1" applyAlignment="1">
      <alignment horizontal="center" vertical="center" textRotation="90" wrapText="1"/>
      <protection/>
    </xf>
    <xf numFmtId="0" fontId="3" fillId="0" borderId="11" xfId="57" applyFont="1" applyFill="1" applyBorder="1" applyAlignment="1">
      <alignment horizontal="center" vertical="center" textRotation="90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ZR_Obrasci_200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zoomScale="82" zoomScaleNormal="82" zoomScalePageLayoutView="0" workbookViewId="0" topLeftCell="A28">
      <selection activeCell="H256" sqref="H256"/>
    </sheetView>
  </sheetViews>
  <sheetFormatPr defaultColWidth="9.140625" defaultRowHeight="15"/>
  <cols>
    <col min="1" max="1" width="3.00390625" style="40" customWidth="1"/>
    <col min="2" max="2" width="11.140625" style="40" customWidth="1"/>
    <col min="3" max="3" width="8.140625" style="40" customWidth="1"/>
    <col min="4" max="4" width="10.57421875" style="40" customWidth="1"/>
    <col min="5" max="5" width="34.7109375" style="29" customWidth="1"/>
    <col min="6" max="6" width="14.7109375" style="40" customWidth="1"/>
    <col min="7" max="7" width="14.140625" style="40" customWidth="1"/>
    <col min="8" max="8" width="14.00390625" style="40" customWidth="1"/>
    <col min="9" max="9" width="15.00390625" style="40" customWidth="1"/>
    <col min="10" max="10" width="14.00390625" style="40" customWidth="1"/>
    <col min="11" max="11" width="14.28125" style="40" customWidth="1"/>
    <col min="12" max="12" width="10.7109375" style="40" customWidth="1"/>
    <col min="13" max="13" width="12.57421875" style="40" customWidth="1"/>
    <col min="14" max="14" width="14.00390625" style="40" customWidth="1"/>
    <col min="15" max="15" width="13.57421875" style="40" customWidth="1"/>
    <col min="16" max="16384" width="9.140625" style="40" customWidth="1"/>
  </cols>
  <sheetData>
    <row r="1" spans="1:5" ht="29.25" customHeight="1">
      <c r="A1" s="56" t="s">
        <v>255</v>
      </c>
      <c r="B1" s="57"/>
      <c r="C1" s="57"/>
      <c r="D1" s="57"/>
      <c r="E1" s="58"/>
    </row>
    <row r="2" spans="1:5" ht="12">
      <c r="A2" s="59"/>
      <c r="B2" s="57"/>
      <c r="C2" s="57"/>
      <c r="D2" s="57"/>
      <c r="E2" s="58"/>
    </row>
    <row r="3" spans="1:8" ht="27" customHeight="1">
      <c r="A3" s="60" t="s">
        <v>435</v>
      </c>
      <c r="B3" s="60"/>
      <c r="C3" s="60"/>
      <c r="D3" s="60"/>
      <c r="E3" s="60"/>
      <c r="F3" s="61"/>
      <c r="G3" s="61"/>
      <c r="H3" s="61"/>
    </row>
    <row r="4" spans="1:11" ht="37.5" customHeight="1">
      <c r="A4" s="57"/>
      <c r="B4" s="57"/>
      <c r="C4" s="57"/>
      <c r="D4" s="57"/>
      <c r="E4" s="58"/>
      <c r="K4" s="222"/>
    </row>
    <row r="5" spans="1:5" ht="28.5" customHeight="1">
      <c r="A5" s="221" t="s">
        <v>0</v>
      </c>
      <c r="B5" s="57"/>
      <c r="C5" s="57"/>
      <c r="D5" s="57"/>
      <c r="E5" s="58"/>
    </row>
    <row r="6" spans="1:15" ht="12" customHeight="1">
      <c r="A6" s="284" t="s">
        <v>1</v>
      </c>
      <c r="B6" s="282" t="s">
        <v>2</v>
      </c>
      <c r="C6" s="284" t="s">
        <v>3</v>
      </c>
      <c r="D6" s="273" t="s">
        <v>4</v>
      </c>
      <c r="E6" s="273" t="s">
        <v>5</v>
      </c>
      <c r="F6" s="267" t="s">
        <v>392</v>
      </c>
      <c r="G6" s="267"/>
      <c r="H6" s="267"/>
      <c r="I6" s="267"/>
      <c r="J6" s="267"/>
      <c r="K6" s="267" t="s">
        <v>436</v>
      </c>
      <c r="L6" s="267"/>
      <c r="M6" s="267"/>
      <c r="N6" s="267"/>
      <c r="O6" s="267"/>
    </row>
    <row r="7" spans="1:15" ht="12" customHeight="1">
      <c r="A7" s="285"/>
      <c r="B7" s="287"/>
      <c r="C7" s="285"/>
      <c r="D7" s="273"/>
      <c r="E7" s="273"/>
      <c r="F7" s="268" t="s">
        <v>6</v>
      </c>
      <c r="G7" s="267" t="s">
        <v>7</v>
      </c>
      <c r="H7" s="267"/>
      <c r="I7" s="267"/>
      <c r="J7" s="267" t="s">
        <v>8</v>
      </c>
      <c r="K7" s="268" t="s">
        <v>6</v>
      </c>
      <c r="L7" s="267" t="s">
        <v>7</v>
      </c>
      <c r="M7" s="267"/>
      <c r="N7" s="267"/>
      <c r="O7" s="267" t="s">
        <v>8</v>
      </c>
    </row>
    <row r="8" spans="1:15" ht="53.25" customHeight="1">
      <c r="A8" s="286"/>
      <c r="B8" s="283"/>
      <c r="C8" s="286"/>
      <c r="D8" s="273"/>
      <c r="E8" s="273"/>
      <c r="F8" s="268"/>
      <c r="G8" s="47" t="s">
        <v>9</v>
      </c>
      <c r="H8" s="146" t="s">
        <v>10</v>
      </c>
      <c r="I8" s="146" t="s">
        <v>11</v>
      </c>
      <c r="J8" s="267"/>
      <c r="K8" s="268"/>
      <c r="L8" s="47" t="s">
        <v>9</v>
      </c>
      <c r="M8" s="146" t="s">
        <v>10</v>
      </c>
      <c r="N8" s="146" t="s">
        <v>11</v>
      </c>
      <c r="O8" s="267"/>
    </row>
    <row r="9" spans="1:15" s="62" customFormat="1" ht="12" customHeight="1" thickBot="1">
      <c r="A9" s="123">
        <v>0</v>
      </c>
      <c r="B9" s="123">
        <v>1</v>
      </c>
      <c r="C9" s="123">
        <v>2</v>
      </c>
      <c r="D9" s="123">
        <v>3</v>
      </c>
      <c r="E9" s="124">
        <v>4</v>
      </c>
      <c r="F9" s="123" t="s">
        <v>413</v>
      </c>
      <c r="G9" s="123">
        <v>6</v>
      </c>
      <c r="H9" s="123">
        <v>7</v>
      </c>
      <c r="I9" s="123">
        <v>8</v>
      </c>
      <c r="J9" s="123">
        <v>9</v>
      </c>
      <c r="K9" s="200" t="s">
        <v>419</v>
      </c>
      <c r="L9" s="201">
        <v>11</v>
      </c>
      <c r="M9" s="201">
        <v>12</v>
      </c>
      <c r="N9" s="201">
        <v>13</v>
      </c>
      <c r="O9" s="123">
        <v>14</v>
      </c>
    </row>
    <row r="10" spans="1:15" s="39" customFormat="1" ht="35.25" customHeight="1" thickBot="1" thickTop="1">
      <c r="A10" s="128" t="s">
        <v>12</v>
      </c>
      <c r="B10" s="129" t="s">
        <v>13</v>
      </c>
      <c r="C10" s="129"/>
      <c r="D10" s="242" t="s">
        <v>232</v>
      </c>
      <c r="E10" s="262"/>
      <c r="F10" s="130">
        <f>+F11+F13+F16</f>
        <v>26338000</v>
      </c>
      <c r="G10" s="130">
        <f>+G13+G16</f>
        <v>0</v>
      </c>
      <c r="H10" s="130">
        <f>+H13+H16</f>
        <v>0</v>
      </c>
      <c r="I10" s="130">
        <f>+I13+I16+I12</f>
        <v>1000000</v>
      </c>
      <c r="J10" s="130">
        <f>+J11+J13+J16</f>
        <v>25338000</v>
      </c>
      <c r="K10" s="130">
        <f>+K11+K13+K16</f>
        <v>26338000</v>
      </c>
      <c r="L10" s="130">
        <f>+L13+L16</f>
        <v>0</v>
      </c>
      <c r="M10" s="130">
        <f>+M13+M16</f>
        <v>0</v>
      </c>
      <c r="N10" s="130">
        <f>+N13+N16+N12</f>
        <v>1000000</v>
      </c>
      <c r="O10" s="130">
        <f>+O11+O13+O16</f>
        <v>25338000</v>
      </c>
    </row>
    <row r="11" spans="1:15" s="39" customFormat="1" ht="28.5" customHeight="1" thickTop="1">
      <c r="A11" s="45">
        <v>1</v>
      </c>
      <c r="B11" s="125" t="s">
        <v>231</v>
      </c>
      <c r="C11" s="126"/>
      <c r="D11" s="265" t="s">
        <v>14</v>
      </c>
      <c r="E11" s="266"/>
      <c r="F11" s="127">
        <f>SUM(G11:J11)</f>
        <v>1000000</v>
      </c>
      <c r="G11" s="127"/>
      <c r="H11" s="127"/>
      <c r="I11" s="127">
        <f>+I12</f>
        <v>1000000</v>
      </c>
      <c r="J11" s="127">
        <f>+J12</f>
        <v>0</v>
      </c>
      <c r="K11" s="127">
        <f>SUM(L11:O11)</f>
        <v>1000000</v>
      </c>
      <c r="L11" s="127"/>
      <c r="M11" s="127"/>
      <c r="N11" s="127">
        <f>+N12</f>
        <v>1000000</v>
      </c>
      <c r="O11" s="127">
        <f>+O12</f>
        <v>0</v>
      </c>
    </row>
    <row r="12" spans="1:15" s="39" customFormat="1" ht="24.75" customHeight="1">
      <c r="A12" s="1"/>
      <c r="B12" s="2"/>
      <c r="C12" s="30"/>
      <c r="D12" s="41">
        <v>741411</v>
      </c>
      <c r="E12" s="85" t="s">
        <v>15</v>
      </c>
      <c r="F12" s="3">
        <f>SUM(G12:J12)</f>
        <v>1000000</v>
      </c>
      <c r="G12" s="3"/>
      <c r="H12" s="3"/>
      <c r="I12" s="191">
        <v>1000000</v>
      </c>
      <c r="J12" s="3"/>
      <c r="K12" s="3">
        <f>SUM(L12:O12)</f>
        <v>1000000</v>
      </c>
      <c r="L12" s="3"/>
      <c r="M12" s="3"/>
      <c r="N12" s="191">
        <v>1000000</v>
      </c>
      <c r="O12" s="3"/>
    </row>
    <row r="13" spans="1:15" s="39" customFormat="1" ht="24" customHeight="1">
      <c r="A13" s="1">
        <v>2</v>
      </c>
      <c r="B13" s="4">
        <v>742000</v>
      </c>
      <c r="C13" s="54"/>
      <c r="D13" s="236" t="s">
        <v>16</v>
      </c>
      <c r="E13" s="245"/>
      <c r="F13" s="3">
        <f>+G13+H13+I13+J13</f>
        <v>25188000</v>
      </c>
      <c r="G13" s="3">
        <f>+G14</f>
        <v>0</v>
      </c>
      <c r="H13" s="3"/>
      <c r="I13" s="3"/>
      <c r="J13" s="3">
        <f>+J14+J15</f>
        <v>25188000</v>
      </c>
      <c r="K13" s="3">
        <f>+L13+M13+N13+O13</f>
        <v>25188000</v>
      </c>
      <c r="L13" s="3">
        <f>+L14</f>
        <v>0</v>
      </c>
      <c r="M13" s="3"/>
      <c r="N13" s="3"/>
      <c r="O13" s="3">
        <f>+O14+O15</f>
        <v>25188000</v>
      </c>
    </row>
    <row r="14" spans="1:15" s="39" customFormat="1" ht="24.75" customHeight="1">
      <c r="A14" s="280"/>
      <c r="B14" s="282"/>
      <c r="C14" s="282"/>
      <c r="D14" s="41" t="s">
        <v>17</v>
      </c>
      <c r="E14" s="85" t="s">
        <v>18</v>
      </c>
      <c r="F14" s="6">
        <f>+G14+H14+I14+J14</f>
        <v>24623000</v>
      </c>
      <c r="G14" s="6"/>
      <c r="H14" s="6"/>
      <c r="I14" s="6"/>
      <c r="J14" s="6">
        <f>24300000+100000+100000+110000+10000+3000</f>
        <v>24623000</v>
      </c>
      <c r="K14" s="6">
        <f>+L14+M14+N14+O14</f>
        <v>24623000</v>
      </c>
      <c r="L14" s="6"/>
      <c r="M14" s="6"/>
      <c r="N14" s="6"/>
      <c r="O14" s="6">
        <f>24300000+100000+100000+110000+10000+3000</f>
        <v>24623000</v>
      </c>
    </row>
    <row r="15" spans="1:15" ht="24.75" customHeight="1">
      <c r="A15" s="281"/>
      <c r="B15" s="283"/>
      <c r="C15" s="283"/>
      <c r="D15" s="46">
        <v>742122</v>
      </c>
      <c r="E15" s="85" t="s">
        <v>19</v>
      </c>
      <c r="F15" s="6">
        <f>+G15+H15+I15+J15</f>
        <v>565000</v>
      </c>
      <c r="G15" s="6"/>
      <c r="H15" s="6"/>
      <c r="I15" s="6"/>
      <c r="J15" s="6">
        <v>565000</v>
      </c>
      <c r="K15" s="6">
        <f>+L15+M15+N15+O15</f>
        <v>565000</v>
      </c>
      <c r="L15" s="6"/>
      <c r="M15" s="6"/>
      <c r="N15" s="6"/>
      <c r="O15" s="6">
        <v>565000</v>
      </c>
    </row>
    <row r="16" spans="1:15" ht="25.5" customHeight="1">
      <c r="A16" s="1">
        <v>3</v>
      </c>
      <c r="B16" s="4">
        <v>745000</v>
      </c>
      <c r="C16" s="54"/>
      <c r="D16" s="236" t="s">
        <v>20</v>
      </c>
      <c r="E16" s="245"/>
      <c r="F16" s="3">
        <f>SUM(G16:J16)</f>
        <v>150000</v>
      </c>
      <c r="G16" s="3">
        <f>+G17</f>
        <v>0</v>
      </c>
      <c r="H16" s="3">
        <f>+H17</f>
        <v>0</v>
      </c>
      <c r="I16" s="3">
        <f>+I17</f>
        <v>0</v>
      </c>
      <c r="J16" s="3">
        <f>+J17</f>
        <v>150000</v>
      </c>
      <c r="K16" s="3">
        <f>SUM(L16:O16)</f>
        <v>150000</v>
      </c>
      <c r="L16" s="3">
        <f>+L17</f>
        <v>0</v>
      </c>
      <c r="M16" s="3">
        <f>+M17</f>
        <v>0</v>
      </c>
      <c r="N16" s="3">
        <f>+N17</f>
        <v>0</v>
      </c>
      <c r="O16" s="3">
        <f>+O17</f>
        <v>150000</v>
      </c>
    </row>
    <row r="17" spans="1:15" ht="24.75" customHeight="1" thickBot="1">
      <c r="A17" s="44"/>
      <c r="B17" s="94"/>
      <c r="C17" s="94"/>
      <c r="D17" s="42" t="s">
        <v>21</v>
      </c>
      <c r="E17" s="192" t="s">
        <v>414</v>
      </c>
      <c r="F17" s="131">
        <f>SUM(G17:J17)</f>
        <v>150000</v>
      </c>
      <c r="G17" s="131"/>
      <c r="H17" s="131"/>
      <c r="I17" s="131"/>
      <c r="J17" s="131">
        <v>150000</v>
      </c>
      <c r="K17" s="131">
        <f>SUM(L17:O17)</f>
        <v>150000</v>
      </c>
      <c r="L17" s="131"/>
      <c r="M17" s="131"/>
      <c r="N17" s="131"/>
      <c r="O17" s="131">
        <v>150000</v>
      </c>
    </row>
    <row r="18" spans="1:15" ht="30" customHeight="1" thickBot="1" thickTop="1">
      <c r="A18" s="159" t="s">
        <v>23</v>
      </c>
      <c r="B18" s="160">
        <v>770000</v>
      </c>
      <c r="C18" s="162"/>
      <c r="D18" s="274" t="s">
        <v>270</v>
      </c>
      <c r="E18" s="275"/>
      <c r="F18" s="130">
        <f>+G18+H18+I18+J18</f>
        <v>7497063.08</v>
      </c>
      <c r="G18" s="130">
        <f>+G19</f>
        <v>1443.72</v>
      </c>
      <c r="H18" s="130">
        <f>+H19</f>
        <v>5516933</v>
      </c>
      <c r="I18" s="130">
        <f>+I19</f>
        <v>1978686.36</v>
      </c>
      <c r="J18" s="130">
        <f>+J19</f>
        <v>0</v>
      </c>
      <c r="K18" s="130">
        <f>+L18+M18+N18+O18</f>
        <v>7497063.08</v>
      </c>
      <c r="L18" s="130">
        <f>+L19</f>
        <v>1443.72</v>
      </c>
      <c r="M18" s="130">
        <f>+M19</f>
        <v>5516933</v>
      </c>
      <c r="N18" s="130">
        <f>+N19</f>
        <v>1978686.36</v>
      </c>
      <c r="O18" s="130">
        <f>+O19</f>
        <v>0</v>
      </c>
    </row>
    <row r="19" spans="1:15" ht="24.75" customHeight="1" thickBot="1" thickTop="1">
      <c r="A19" s="159"/>
      <c r="B19" s="160"/>
      <c r="C19" s="162"/>
      <c r="D19" s="161">
        <v>771111</v>
      </c>
      <c r="E19" s="132" t="s">
        <v>22</v>
      </c>
      <c r="F19" s="181">
        <f>+G19+H19+I19</f>
        <v>7497063.08</v>
      </c>
      <c r="G19" s="181">
        <f>120.31*12</f>
        <v>1443.72</v>
      </c>
      <c r="H19" s="181">
        <v>5516933</v>
      </c>
      <c r="I19" s="181">
        <v>1978686.36</v>
      </c>
      <c r="J19" s="127"/>
      <c r="K19" s="181">
        <f>+L19+M19+N19</f>
        <v>7497063.08</v>
      </c>
      <c r="L19" s="181">
        <f>120.31*12</f>
        <v>1443.72</v>
      </c>
      <c r="M19" s="181">
        <v>5516933</v>
      </c>
      <c r="N19" s="181">
        <v>1978686.36</v>
      </c>
      <c r="O19" s="127"/>
    </row>
    <row r="20" spans="1:15" ht="35.25" customHeight="1" thickBot="1" thickTop="1">
      <c r="A20" s="128" t="s">
        <v>24</v>
      </c>
      <c r="B20" s="220" t="s">
        <v>271</v>
      </c>
      <c r="C20" s="220"/>
      <c r="D20" s="276" t="s">
        <v>272</v>
      </c>
      <c r="E20" s="277"/>
      <c r="F20" s="215">
        <f>SUM(G20:J20)</f>
        <v>584316798</v>
      </c>
      <c r="G20" s="216"/>
      <c r="H20" s="216"/>
      <c r="I20" s="217">
        <f>465042000+80997000+12724943+2346263+6146000+72616+2601976+6829000+7557000</f>
        <v>584316798</v>
      </c>
      <c r="J20" s="216"/>
      <c r="K20" s="215">
        <f>SUM(L20:O20)</f>
        <v>583046798</v>
      </c>
      <c r="L20" s="216"/>
      <c r="M20" s="216"/>
      <c r="N20" s="217">
        <f>478077000+81078000+12724943+2346263+6146000+72616+2601976</f>
        <v>583046798</v>
      </c>
      <c r="O20" s="216"/>
    </row>
    <row r="21" spans="1:15" ht="33.75" customHeight="1" thickBot="1" thickTop="1">
      <c r="A21" s="128" t="s">
        <v>221</v>
      </c>
      <c r="B21" s="133">
        <v>791111</v>
      </c>
      <c r="C21" s="137"/>
      <c r="D21" s="242" t="s">
        <v>25</v>
      </c>
      <c r="E21" s="262"/>
      <c r="F21" s="130">
        <f>SUM(G21:J21)</f>
        <v>15000000</v>
      </c>
      <c r="G21" s="134"/>
      <c r="H21" s="134">
        <v>15000000</v>
      </c>
      <c r="I21" s="135"/>
      <c r="J21" s="134"/>
      <c r="K21" s="130">
        <f>SUM(L21:O21)</f>
        <v>15000000</v>
      </c>
      <c r="L21" s="134"/>
      <c r="M21" s="134">
        <v>15000000</v>
      </c>
      <c r="N21" s="135"/>
      <c r="O21" s="134"/>
    </row>
    <row r="22" spans="1:15" ht="36.75" customHeight="1" thickBot="1" thickTop="1">
      <c r="A22" s="128" t="s">
        <v>229</v>
      </c>
      <c r="B22" s="133"/>
      <c r="C22" s="133"/>
      <c r="D22" s="276" t="s">
        <v>412</v>
      </c>
      <c r="E22" s="277"/>
      <c r="F22" s="130">
        <f>SUM(G22:J22)</f>
        <v>2249348.89</v>
      </c>
      <c r="G22" s="134"/>
      <c r="H22" s="134"/>
      <c r="I22" s="135"/>
      <c r="J22" s="134">
        <v>2249348.89</v>
      </c>
      <c r="K22" s="130">
        <f>SUM(L22:O22)</f>
        <v>2249348.89</v>
      </c>
      <c r="L22" s="134"/>
      <c r="M22" s="134"/>
      <c r="N22" s="135"/>
      <c r="O22" s="134">
        <v>2249348.89</v>
      </c>
    </row>
    <row r="23" spans="1:15" ht="35.25" customHeight="1" thickTop="1">
      <c r="A23" s="278" t="s">
        <v>269</v>
      </c>
      <c r="B23" s="279"/>
      <c r="C23" s="279"/>
      <c r="D23" s="279"/>
      <c r="E23" s="279"/>
      <c r="F23" s="136">
        <f>+G23+H23+I23+J23</f>
        <v>635401209.97</v>
      </c>
      <c r="G23" s="136">
        <f>+G10+G20+G21+G19</f>
        <v>1443.72</v>
      </c>
      <c r="H23" s="136">
        <f>+H10+H20+H21+H19</f>
        <v>20516933</v>
      </c>
      <c r="I23" s="136">
        <f>+I10+I20+I21+I18</f>
        <v>587295484.36</v>
      </c>
      <c r="J23" s="136">
        <f>+J10+J18+J22</f>
        <v>27587348.89</v>
      </c>
      <c r="K23" s="136">
        <f>+L23+M23+N23+O23</f>
        <v>634131209.97</v>
      </c>
      <c r="L23" s="136">
        <f>+L10+L20+L21+L19</f>
        <v>1443.72</v>
      </c>
      <c r="M23" s="136">
        <f>+M10+M20+M21+M19</f>
        <v>20516933</v>
      </c>
      <c r="N23" s="136">
        <f>+N10+N20+N21+N18</f>
        <v>586025484.36</v>
      </c>
      <c r="O23" s="136">
        <f>+O10+O18+O22</f>
        <v>27587348.89</v>
      </c>
    </row>
    <row r="24" spans="1:15" ht="64.5" customHeight="1">
      <c r="A24" s="190"/>
      <c r="B24" s="190"/>
      <c r="C24" s="190"/>
      <c r="D24" s="190"/>
      <c r="E24" s="190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ht="54.75" customHeight="1">
      <c r="A25" s="190"/>
      <c r="B25" s="190"/>
      <c r="C25" s="190"/>
      <c r="D25" s="190"/>
      <c r="E25" s="190"/>
      <c r="F25" s="157"/>
      <c r="G25" s="157"/>
      <c r="H25" s="157"/>
      <c r="I25" s="157"/>
      <c r="J25" s="157" t="s">
        <v>433</v>
      </c>
      <c r="K25" s="157"/>
      <c r="L25" s="157"/>
      <c r="M25" s="157"/>
      <c r="N25" s="157"/>
      <c r="O25" s="157"/>
    </row>
    <row r="26" spans="1:5" ht="26.25" customHeight="1">
      <c r="A26" s="55" t="s">
        <v>26</v>
      </c>
      <c r="B26" s="64"/>
      <c r="C26" s="64"/>
      <c r="D26" s="57"/>
      <c r="E26" s="58"/>
    </row>
    <row r="27" spans="1:15" ht="12" customHeight="1">
      <c r="A27" s="269" t="s">
        <v>1</v>
      </c>
      <c r="B27" s="270" t="s">
        <v>27</v>
      </c>
      <c r="C27" s="271" t="s">
        <v>3</v>
      </c>
      <c r="D27" s="272" t="s">
        <v>4</v>
      </c>
      <c r="E27" s="273" t="s">
        <v>5</v>
      </c>
      <c r="F27" s="267" t="s">
        <v>228</v>
      </c>
      <c r="G27" s="267"/>
      <c r="H27" s="267"/>
      <c r="I27" s="267"/>
      <c r="J27" s="267"/>
      <c r="K27" s="267" t="s">
        <v>437</v>
      </c>
      <c r="L27" s="267"/>
      <c r="M27" s="267"/>
      <c r="N27" s="267"/>
      <c r="O27" s="267"/>
    </row>
    <row r="28" spans="1:15" ht="12" customHeight="1">
      <c r="A28" s="269"/>
      <c r="B28" s="270"/>
      <c r="C28" s="271"/>
      <c r="D28" s="272"/>
      <c r="E28" s="273"/>
      <c r="F28" s="268" t="s">
        <v>6</v>
      </c>
      <c r="G28" s="267" t="s">
        <v>28</v>
      </c>
      <c r="H28" s="267"/>
      <c r="I28" s="267"/>
      <c r="J28" s="267" t="s">
        <v>8</v>
      </c>
      <c r="K28" s="268" t="s">
        <v>6</v>
      </c>
      <c r="L28" s="267" t="s">
        <v>28</v>
      </c>
      <c r="M28" s="267"/>
      <c r="N28" s="267"/>
      <c r="O28" s="267" t="s">
        <v>8</v>
      </c>
    </row>
    <row r="29" spans="1:15" ht="42" customHeight="1">
      <c r="A29" s="269"/>
      <c r="B29" s="270"/>
      <c r="C29" s="271"/>
      <c r="D29" s="272"/>
      <c r="E29" s="273"/>
      <c r="F29" s="268"/>
      <c r="G29" s="146" t="s">
        <v>9</v>
      </c>
      <c r="H29" s="146" t="s">
        <v>10</v>
      </c>
      <c r="I29" s="146" t="s">
        <v>11</v>
      </c>
      <c r="J29" s="267"/>
      <c r="K29" s="268"/>
      <c r="L29" s="146" t="s">
        <v>9</v>
      </c>
      <c r="M29" s="146" t="s">
        <v>10</v>
      </c>
      <c r="N29" s="146" t="s">
        <v>11</v>
      </c>
      <c r="O29" s="267"/>
    </row>
    <row r="30" spans="1:15" ht="12" customHeight="1">
      <c r="A30" s="47">
        <v>0</v>
      </c>
      <c r="B30" s="47">
        <v>1</v>
      </c>
      <c r="C30" s="47">
        <v>2</v>
      </c>
      <c r="D30" s="47">
        <v>3</v>
      </c>
      <c r="E30" s="95">
        <v>4</v>
      </c>
      <c r="F30" s="123" t="s">
        <v>413</v>
      </c>
      <c r="G30" s="123">
        <v>6</v>
      </c>
      <c r="H30" s="123">
        <v>7</v>
      </c>
      <c r="I30" s="123">
        <v>8</v>
      </c>
      <c r="J30" s="123">
        <v>9</v>
      </c>
      <c r="K30" s="200" t="s">
        <v>419</v>
      </c>
      <c r="L30" s="201">
        <v>11</v>
      </c>
      <c r="M30" s="201">
        <v>12</v>
      </c>
      <c r="N30" s="201">
        <v>13</v>
      </c>
      <c r="O30" s="123">
        <v>14</v>
      </c>
    </row>
    <row r="31" spans="1:15" ht="21" customHeight="1" thickBot="1">
      <c r="A31" s="263" t="s">
        <v>29</v>
      </c>
      <c r="B31" s="264"/>
      <c r="C31" s="264"/>
      <c r="D31" s="264"/>
      <c r="E31" s="264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ht="28.5" customHeight="1" thickBot="1" thickTop="1">
      <c r="A32" s="128" t="s">
        <v>12</v>
      </c>
      <c r="B32" s="174">
        <v>410000</v>
      </c>
      <c r="C32" s="174"/>
      <c r="D32" s="242" t="s">
        <v>285</v>
      </c>
      <c r="E32" s="262"/>
      <c r="F32" s="166">
        <f>SUM(G32:J32)</f>
        <v>467746233.51</v>
      </c>
      <c r="G32" s="166">
        <f>+G33+G35+G39+G42+G52+G56</f>
        <v>1444</v>
      </c>
      <c r="H32" s="166">
        <f>+H33+H35+H39+H42+H52+H56</f>
        <v>5516933.15</v>
      </c>
      <c r="I32" s="166">
        <f>+I33+I35+I39+I42+I52+I56</f>
        <v>454611565.36</v>
      </c>
      <c r="J32" s="166">
        <f>+J33+J35+J39+J42+J52+J56</f>
        <v>7616291</v>
      </c>
      <c r="K32" s="166">
        <f>SUM(L32:O32)</f>
        <v>466738733.51</v>
      </c>
      <c r="L32" s="166">
        <f>+L33+L35+L39+L42+L52+L56</f>
        <v>1444</v>
      </c>
      <c r="M32" s="166">
        <f>+M33+M35+M39+M42+M52+M56</f>
        <v>5516933.15</v>
      </c>
      <c r="N32" s="166">
        <f>+N33+N35+N39+N42+N52+N56</f>
        <v>453341565.36</v>
      </c>
      <c r="O32" s="166">
        <f>+O33+O35+O39+O42+O52+O56</f>
        <v>7878791</v>
      </c>
    </row>
    <row r="33" spans="1:15" ht="30" customHeight="1" thickTop="1">
      <c r="A33" s="49">
        <v>1</v>
      </c>
      <c r="B33" s="109">
        <v>411000</v>
      </c>
      <c r="C33" s="112" t="s">
        <v>288</v>
      </c>
      <c r="D33" s="265" t="s">
        <v>30</v>
      </c>
      <c r="E33" s="266"/>
      <c r="F33" s="114">
        <f>SUM(G33:J33)</f>
        <v>373286000</v>
      </c>
      <c r="G33" s="114"/>
      <c r="H33" s="114"/>
      <c r="I33" s="114">
        <f>+I34</f>
        <v>368118000</v>
      </c>
      <c r="J33" s="114">
        <f>+J34</f>
        <v>5168000</v>
      </c>
      <c r="K33" s="114">
        <f>SUM(L33:O33)</f>
        <v>371098950</v>
      </c>
      <c r="L33" s="114"/>
      <c r="M33" s="114"/>
      <c r="N33" s="114">
        <f>+N34</f>
        <v>365930950</v>
      </c>
      <c r="O33" s="114">
        <f>+O34</f>
        <v>5168000</v>
      </c>
    </row>
    <row r="34" spans="1:15" ht="26.25" customHeight="1">
      <c r="A34" s="20"/>
      <c r="B34" s="67"/>
      <c r="C34" s="14" t="s">
        <v>31</v>
      </c>
      <c r="D34" s="202">
        <v>411100</v>
      </c>
      <c r="E34" s="211" t="s">
        <v>32</v>
      </c>
      <c r="F34" s="203">
        <f>SUM(G34:J34)</f>
        <v>373286000</v>
      </c>
      <c r="G34" s="204"/>
      <c r="H34" s="204"/>
      <c r="I34" s="204">
        <v>368118000</v>
      </c>
      <c r="J34" s="204">
        <v>5168000</v>
      </c>
      <c r="K34" s="203">
        <f>SUM(L34:O34)</f>
        <v>371098950</v>
      </c>
      <c r="L34" s="204"/>
      <c r="M34" s="204"/>
      <c r="N34" s="204">
        <v>365930950</v>
      </c>
      <c r="O34" s="204">
        <v>5168000</v>
      </c>
    </row>
    <row r="35" spans="1:15" ht="30" customHeight="1">
      <c r="A35" s="8">
        <v>2</v>
      </c>
      <c r="B35" s="1">
        <v>412000</v>
      </c>
      <c r="C35" s="81" t="s">
        <v>256</v>
      </c>
      <c r="D35" s="236" t="s">
        <v>33</v>
      </c>
      <c r="E35" s="237"/>
      <c r="F35" s="78">
        <f>SUM(G35:J35)</f>
        <v>65874000</v>
      </c>
      <c r="G35" s="78"/>
      <c r="H35" s="78"/>
      <c r="I35" s="78">
        <f>+I36+I37+I38</f>
        <v>64962000</v>
      </c>
      <c r="J35" s="78">
        <f>+J36+J37+J38</f>
        <v>912000</v>
      </c>
      <c r="K35" s="78">
        <f>SUM(L35:O35)</f>
        <v>65488050</v>
      </c>
      <c r="L35" s="78"/>
      <c r="M35" s="78"/>
      <c r="N35" s="78">
        <f>+N36+N37+N38</f>
        <v>64576050</v>
      </c>
      <c r="O35" s="78">
        <f>+O36+O37+O38</f>
        <v>912000</v>
      </c>
    </row>
    <row r="36" spans="1:15" ht="19.5" customHeight="1">
      <c r="A36" s="48"/>
      <c r="B36" s="65"/>
      <c r="C36" s="98" t="s">
        <v>35</v>
      </c>
      <c r="D36" s="224">
        <v>412100</v>
      </c>
      <c r="E36" s="225" t="s">
        <v>225</v>
      </c>
      <c r="F36" s="203">
        <f>+G36+I36+J36</f>
        <v>44914032</v>
      </c>
      <c r="G36" s="203"/>
      <c r="H36" s="203"/>
      <c r="I36" s="203">
        <v>44292215</v>
      </c>
      <c r="J36" s="203">
        <v>621817</v>
      </c>
      <c r="K36" s="203">
        <f>+L36+N36+O36</f>
        <v>44650885</v>
      </c>
      <c r="L36" s="203"/>
      <c r="M36" s="203"/>
      <c r="N36" s="203">
        <v>44029068</v>
      </c>
      <c r="O36" s="203">
        <v>621817</v>
      </c>
    </row>
    <row r="37" spans="1:15" ht="19.5" customHeight="1">
      <c r="A37" s="48"/>
      <c r="B37" s="65"/>
      <c r="C37" s="98" t="s">
        <v>273</v>
      </c>
      <c r="D37" s="224">
        <v>412200</v>
      </c>
      <c r="E37" s="225" t="s">
        <v>226</v>
      </c>
      <c r="F37" s="203">
        <f>+G37+I37+J37</f>
        <v>18295565</v>
      </c>
      <c r="G37" s="203"/>
      <c r="H37" s="203"/>
      <c r="I37" s="203">
        <v>18042270</v>
      </c>
      <c r="J37" s="203">
        <v>253295</v>
      </c>
      <c r="K37" s="203">
        <f>+L37+N37+O37</f>
        <v>18188373</v>
      </c>
      <c r="L37" s="203"/>
      <c r="M37" s="203"/>
      <c r="N37" s="203">
        <v>17935078</v>
      </c>
      <c r="O37" s="203">
        <v>253295</v>
      </c>
    </row>
    <row r="38" spans="1:15" ht="19.5" customHeight="1">
      <c r="A38" s="31"/>
      <c r="B38" s="66"/>
      <c r="C38" s="98" t="s">
        <v>274</v>
      </c>
      <c r="D38" s="224">
        <v>412300</v>
      </c>
      <c r="E38" s="225" t="s">
        <v>227</v>
      </c>
      <c r="F38" s="203">
        <f>+G38+I38+J38</f>
        <v>2664403</v>
      </c>
      <c r="G38" s="203"/>
      <c r="H38" s="203"/>
      <c r="I38" s="203">
        <v>2627515</v>
      </c>
      <c r="J38" s="203">
        <v>36888</v>
      </c>
      <c r="K38" s="203">
        <f>+L38+N38+O38</f>
        <v>2648792</v>
      </c>
      <c r="L38" s="203"/>
      <c r="M38" s="203"/>
      <c r="N38" s="203">
        <v>2611904</v>
      </c>
      <c r="O38" s="203">
        <v>36888</v>
      </c>
    </row>
    <row r="39" spans="1:15" ht="21" customHeight="1">
      <c r="A39" s="13">
        <v>3</v>
      </c>
      <c r="B39" s="5">
        <v>413000</v>
      </c>
      <c r="C39" s="8" t="s">
        <v>275</v>
      </c>
      <c r="D39" s="236" t="s">
        <v>34</v>
      </c>
      <c r="E39" s="245"/>
      <c r="F39" s="78">
        <f aca="true" t="shared" si="0" ref="F39:F46">SUM(G39:J39)</f>
        <v>297352</v>
      </c>
      <c r="G39" s="78"/>
      <c r="H39" s="78"/>
      <c r="I39" s="78">
        <f>+I40</f>
        <v>262352</v>
      </c>
      <c r="J39" s="78">
        <f>+J40</f>
        <v>35000</v>
      </c>
      <c r="K39" s="78">
        <f aca="true" t="shared" si="1" ref="K39:K46">SUM(L39:O39)</f>
        <v>559852</v>
      </c>
      <c r="L39" s="78"/>
      <c r="M39" s="78"/>
      <c r="N39" s="78">
        <f>+N40</f>
        <v>262352</v>
      </c>
      <c r="O39" s="78">
        <f>+O40+O41</f>
        <v>297500</v>
      </c>
    </row>
    <row r="40" spans="1:15" ht="19.5" customHeight="1">
      <c r="A40" s="15"/>
      <c r="B40" s="57"/>
      <c r="C40" s="99" t="s">
        <v>276</v>
      </c>
      <c r="D40" s="41">
        <v>413151</v>
      </c>
      <c r="E40" s="85" t="s">
        <v>36</v>
      </c>
      <c r="F40" s="79">
        <f t="shared" si="0"/>
        <v>297352</v>
      </c>
      <c r="G40" s="28"/>
      <c r="H40" s="28"/>
      <c r="I40" s="28">
        <f>259000-4378+7730</f>
        <v>262352</v>
      </c>
      <c r="J40" s="28">
        <v>35000</v>
      </c>
      <c r="K40" s="79">
        <f t="shared" si="1"/>
        <v>297352</v>
      </c>
      <c r="L40" s="28"/>
      <c r="M40" s="28"/>
      <c r="N40" s="28">
        <f>259000-4378+7730</f>
        <v>262352</v>
      </c>
      <c r="O40" s="28">
        <v>35000</v>
      </c>
    </row>
    <row r="41" spans="1:15" ht="19.5" customHeight="1">
      <c r="A41" s="226"/>
      <c r="B41" s="57"/>
      <c r="C41" s="99" t="s">
        <v>438</v>
      </c>
      <c r="D41" s="202">
        <v>413142</v>
      </c>
      <c r="E41" s="213" t="s">
        <v>439</v>
      </c>
      <c r="F41" s="203"/>
      <c r="G41" s="204"/>
      <c r="H41" s="204"/>
      <c r="I41" s="204"/>
      <c r="J41" s="204"/>
      <c r="K41" s="203">
        <f t="shared" si="1"/>
        <v>262500</v>
      </c>
      <c r="L41" s="204"/>
      <c r="M41" s="204"/>
      <c r="N41" s="204"/>
      <c r="O41" s="204">
        <v>262500</v>
      </c>
    </row>
    <row r="42" spans="1:15" ht="19.5" customHeight="1">
      <c r="A42" s="50">
        <v>4</v>
      </c>
      <c r="B42" s="24">
        <v>414000</v>
      </c>
      <c r="C42" s="34" t="s">
        <v>287</v>
      </c>
      <c r="D42" s="236" t="s">
        <v>37</v>
      </c>
      <c r="E42" s="245"/>
      <c r="F42" s="78">
        <f t="shared" si="0"/>
        <v>9972312.510000002</v>
      </c>
      <c r="G42" s="78">
        <f>+G43+G47</f>
        <v>1444</v>
      </c>
      <c r="H42" s="78">
        <f>+H43+H47</f>
        <v>5516933.15</v>
      </c>
      <c r="I42" s="78">
        <f>+I43+I47</f>
        <v>4397565.36</v>
      </c>
      <c r="J42" s="78">
        <f>+J43+J47+J50</f>
        <v>56370</v>
      </c>
      <c r="K42" s="78">
        <f t="shared" si="1"/>
        <v>9972312.510000002</v>
      </c>
      <c r="L42" s="78">
        <f>+L43+L47</f>
        <v>1444</v>
      </c>
      <c r="M42" s="78">
        <f>+M43+M47</f>
        <v>5516933.15</v>
      </c>
      <c r="N42" s="78">
        <f>+N43+N47</f>
        <v>4397565.36</v>
      </c>
      <c r="O42" s="78">
        <f>+O43+O47+O50</f>
        <v>56370</v>
      </c>
    </row>
    <row r="43" spans="1:15" ht="24.75" customHeight="1">
      <c r="A43" s="102"/>
      <c r="B43" s="4"/>
      <c r="C43" s="34" t="s">
        <v>277</v>
      </c>
      <c r="D43" s="4">
        <v>414100</v>
      </c>
      <c r="E43" s="88" t="s">
        <v>38</v>
      </c>
      <c r="F43" s="78">
        <f t="shared" si="0"/>
        <v>7497063.510000001</v>
      </c>
      <c r="G43" s="78">
        <f>+G44+G45+G46</f>
        <v>1444</v>
      </c>
      <c r="H43" s="78">
        <f>+H44</f>
        <v>5516933.15</v>
      </c>
      <c r="I43" s="78">
        <f>+I44+I45</f>
        <v>1978686.36</v>
      </c>
      <c r="J43" s="78">
        <f>+J44+J45</f>
        <v>0</v>
      </c>
      <c r="K43" s="78">
        <f t="shared" si="1"/>
        <v>7497063.510000001</v>
      </c>
      <c r="L43" s="78">
        <f>+L44+L45+L46</f>
        <v>1444</v>
      </c>
      <c r="M43" s="78">
        <f>+M44</f>
        <v>5516933.15</v>
      </c>
      <c r="N43" s="78">
        <f>+N44+N45</f>
        <v>1978686.36</v>
      </c>
      <c r="O43" s="78">
        <f>+O44+O45</f>
        <v>0</v>
      </c>
    </row>
    <row r="44" spans="1:15" ht="19.5" customHeight="1">
      <c r="A44" s="257"/>
      <c r="B44" s="101"/>
      <c r="C44" s="104" t="s">
        <v>278</v>
      </c>
      <c r="D44" s="41">
        <v>414111</v>
      </c>
      <c r="E44" s="86" t="s">
        <v>39</v>
      </c>
      <c r="F44" s="79">
        <f t="shared" si="0"/>
        <v>5516933.15</v>
      </c>
      <c r="G44" s="78"/>
      <c r="H44" s="79">
        <v>5516933.15</v>
      </c>
      <c r="I44" s="105"/>
      <c r="J44" s="105"/>
      <c r="K44" s="79">
        <f t="shared" si="1"/>
        <v>5516933.15</v>
      </c>
      <c r="L44" s="78"/>
      <c r="M44" s="79">
        <v>5516933.15</v>
      </c>
      <c r="N44" s="105"/>
      <c r="O44" s="105"/>
    </row>
    <row r="45" spans="1:15" ht="19.5" customHeight="1">
      <c r="A45" s="257"/>
      <c r="B45" s="101"/>
      <c r="C45" s="104" t="s">
        <v>279</v>
      </c>
      <c r="D45" s="41">
        <v>414121</v>
      </c>
      <c r="E45" s="86" t="s">
        <v>40</v>
      </c>
      <c r="F45" s="79">
        <f t="shared" si="0"/>
        <v>1978686.36</v>
      </c>
      <c r="G45" s="78"/>
      <c r="H45" s="78"/>
      <c r="I45" s="79">
        <v>1978686.36</v>
      </c>
      <c r="J45" s="79"/>
      <c r="K45" s="79">
        <f t="shared" si="1"/>
        <v>1978686.36</v>
      </c>
      <c r="L45" s="78"/>
      <c r="M45" s="78"/>
      <c r="N45" s="79">
        <v>1978686.36</v>
      </c>
      <c r="O45" s="79"/>
    </row>
    <row r="46" spans="1:15" ht="19.5" customHeight="1">
      <c r="A46" s="103"/>
      <c r="B46" s="101"/>
      <c r="C46" s="104" t="s">
        <v>418</v>
      </c>
      <c r="D46" s="41">
        <v>414131</v>
      </c>
      <c r="E46" s="156" t="s">
        <v>417</v>
      </c>
      <c r="F46" s="79">
        <f t="shared" si="0"/>
        <v>1444</v>
      </c>
      <c r="G46" s="105">
        <v>1444</v>
      </c>
      <c r="H46" s="78"/>
      <c r="I46" s="79"/>
      <c r="J46" s="79"/>
      <c r="K46" s="79">
        <f t="shared" si="1"/>
        <v>1444</v>
      </c>
      <c r="L46" s="105">
        <v>1444</v>
      </c>
      <c r="M46" s="78"/>
      <c r="N46" s="79"/>
      <c r="O46" s="79"/>
    </row>
    <row r="47" spans="1:15" ht="19.5" customHeight="1">
      <c r="A47" s="103"/>
      <c r="B47" s="100"/>
      <c r="C47" s="8" t="s">
        <v>45</v>
      </c>
      <c r="D47" s="4">
        <v>414300</v>
      </c>
      <c r="E47" s="87" t="s">
        <v>282</v>
      </c>
      <c r="F47" s="78">
        <f>+G47+H47+I47+J47</f>
        <v>2418879</v>
      </c>
      <c r="G47" s="78"/>
      <c r="H47" s="78"/>
      <c r="I47" s="78">
        <f>+I48+I49</f>
        <v>2418879</v>
      </c>
      <c r="J47" s="78">
        <f>+J48</f>
        <v>0</v>
      </c>
      <c r="K47" s="78">
        <f>+L47+M47+N47+O47</f>
        <v>2418879</v>
      </c>
      <c r="L47" s="78"/>
      <c r="M47" s="78"/>
      <c r="N47" s="78">
        <f>+N48+N49</f>
        <v>2418879</v>
      </c>
      <c r="O47" s="78">
        <f>+O48</f>
        <v>0</v>
      </c>
    </row>
    <row r="48" spans="1:15" ht="19.5" customHeight="1">
      <c r="A48" s="27"/>
      <c r="B48" s="67"/>
      <c r="C48" s="98" t="s">
        <v>280</v>
      </c>
      <c r="D48" s="41">
        <v>414311</v>
      </c>
      <c r="E48" s="85" t="s">
        <v>41</v>
      </c>
      <c r="F48" s="105">
        <f>SUM(G48:J48)</f>
        <v>2346263</v>
      </c>
      <c r="G48" s="106"/>
      <c r="H48" s="106"/>
      <c r="I48" s="106">
        <f>2080560+25703+240000</f>
        <v>2346263</v>
      </c>
      <c r="J48" s="28"/>
      <c r="K48" s="105">
        <f>SUM(L48:O48)</f>
        <v>2346263</v>
      </c>
      <c r="L48" s="106"/>
      <c r="M48" s="106"/>
      <c r="N48" s="106">
        <f>2080560+25703+240000</f>
        <v>2346263</v>
      </c>
      <c r="O48" s="28"/>
    </row>
    <row r="49" spans="1:15" ht="28.5" customHeight="1">
      <c r="A49" s="27"/>
      <c r="B49" s="69"/>
      <c r="C49" s="98" t="s">
        <v>281</v>
      </c>
      <c r="D49" s="41">
        <v>414314</v>
      </c>
      <c r="E49" s="145" t="s">
        <v>42</v>
      </c>
      <c r="F49" s="105">
        <f>SUM(G49:J49)</f>
        <v>72616</v>
      </c>
      <c r="G49" s="106"/>
      <c r="H49" s="106"/>
      <c r="I49" s="106">
        <f>36308*2</f>
        <v>72616</v>
      </c>
      <c r="J49" s="28"/>
      <c r="K49" s="105">
        <f>SUM(L49:O49)</f>
        <v>72616</v>
      </c>
      <c r="L49" s="106"/>
      <c r="M49" s="106"/>
      <c r="N49" s="106">
        <f>36308*2</f>
        <v>72616</v>
      </c>
      <c r="O49" s="28"/>
    </row>
    <row r="50" spans="1:15" ht="28.5" customHeight="1">
      <c r="A50" s="27"/>
      <c r="B50" s="69"/>
      <c r="C50" s="8" t="s">
        <v>384</v>
      </c>
      <c r="D50" s="4">
        <v>414400</v>
      </c>
      <c r="E50" s="182" t="s">
        <v>383</v>
      </c>
      <c r="F50" s="78">
        <f>+I50+J50</f>
        <v>56370</v>
      </c>
      <c r="G50" s="11"/>
      <c r="H50" s="11"/>
      <c r="I50" s="11"/>
      <c r="J50" s="11">
        <f>+J51</f>
        <v>56370</v>
      </c>
      <c r="K50" s="78">
        <f>+N51+O51</f>
        <v>56370</v>
      </c>
      <c r="L50" s="11"/>
      <c r="M50" s="11"/>
      <c r="N50" s="11"/>
      <c r="O50" s="11">
        <f>+O51</f>
        <v>56370</v>
      </c>
    </row>
    <row r="51" spans="1:15" ht="25.5" customHeight="1">
      <c r="A51" s="27"/>
      <c r="B51" s="33"/>
      <c r="C51" s="99" t="s">
        <v>385</v>
      </c>
      <c r="D51" s="41">
        <v>414411</v>
      </c>
      <c r="E51" s="173" t="s">
        <v>380</v>
      </c>
      <c r="F51" s="105">
        <f aca="true" t="shared" si="2" ref="F51:F58">SUM(G51:J51)</f>
        <v>56370</v>
      </c>
      <c r="G51" s="106"/>
      <c r="H51" s="106"/>
      <c r="I51" s="106"/>
      <c r="J51" s="28">
        <v>56370</v>
      </c>
      <c r="K51" s="105">
        <f aca="true" t="shared" si="3" ref="K51:K58">SUM(L51:O51)</f>
        <v>56370</v>
      </c>
      <c r="L51" s="106"/>
      <c r="M51" s="106"/>
      <c r="N51" s="106"/>
      <c r="O51" s="28">
        <v>56370</v>
      </c>
    </row>
    <row r="52" spans="1:15" ht="18.75" customHeight="1">
      <c r="A52" s="8">
        <v>5</v>
      </c>
      <c r="B52" s="4">
        <v>415000</v>
      </c>
      <c r="C52" s="8" t="s">
        <v>257</v>
      </c>
      <c r="D52" s="258" t="s">
        <v>43</v>
      </c>
      <c r="E52" s="258"/>
      <c r="F52" s="78">
        <f t="shared" si="2"/>
        <v>12080569</v>
      </c>
      <c r="G52" s="78"/>
      <c r="H52" s="78"/>
      <c r="I52" s="78">
        <f>+I53+I54+I55</f>
        <v>10725648</v>
      </c>
      <c r="J52" s="78">
        <f>+J53+J54+J55</f>
        <v>1354921</v>
      </c>
      <c r="K52" s="78">
        <f t="shared" si="3"/>
        <v>13383569</v>
      </c>
      <c r="L52" s="78"/>
      <c r="M52" s="78"/>
      <c r="N52" s="78">
        <f>+N53+N54+N55</f>
        <v>12028648</v>
      </c>
      <c r="O52" s="78">
        <f>+O53+O54+O55</f>
        <v>1354921</v>
      </c>
    </row>
    <row r="53" spans="1:15" ht="37.5" customHeight="1">
      <c r="A53" s="259"/>
      <c r="B53" s="260"/>
      <c r="C53" s="107" t="s">
        <v>48</v>
      </c>
      <c r="D53" s="16">
        <v>415111</v>
      </c>
      <c r="E53" s="85" t="s">
        <v>44</v>
      </c>
      <c r="F53" s="79">
        <f t="shared" si="2"/>
        <v>1299921</v>
      </c>
      <c r="G53" s="12"/>
      <c r="H53" s="12"/>
      <c r="I53" s="12"/>
      <c r="J53" s="12">
        <f>976267+161827+161827</f>
        <v>1299921</v>
      </c>
      <c r="K53" s="79">
        <f t="shared" si="3"/>
        <v>1299921</v>
      </c>
      <c r="L53" s="12"/>
      <c r="M53" s="12"/>
      <c r="N53" s="12"/>
      <c r="O53" s="12">
        <f>976267+161827+161827</f>
        <v>1299921</v>
      </c>
    </row>
    <row r="54" spans="1:15" ht="43.5" customHeight="1">
      <c r="A54" s="257"/>
      <c r="B54" s="261"/>
      <c r="C54" s="210" t="s">
        <v>50</v>
      </c>
      <c r="D54" s="202">
        <v>415112</v>
      </c>
      <c r="E54" s="211" t="s">
        <v>46</v>
      </c>
      <c r="F54" s="203">
        <f t="shared" si="2"/>
        <v>10345648</v>
      </c>
      <c r="G54" s="204"/>
      <c r="H54" s="204"/>
      <c r="I54" s="204">
        <f>10324619-33971</f>
        <v>10290648</v>
      </c>
      <c r="J54" s="204">
        <v>55000</v>
      </c>
      <c r="K54" s="203">
        <f t="shared" si="3"/>
        <v>11648648</v>
      </c>
      <c r="L54" s="204"/>
      <c r="M54" s="204"/>
      <c r="N54" s="204">
        <f>10324619-33971+1303000</f>
        <v>11593648</v>
      </c>
      <c r="O54" s="204">
        <v>55000</v>
      </c>
    </row>
    <row r="55" spans="1:15" ht="33" customHeight="1">
      <c r="A55" s="108"/>
      <c r="B55" s="93"/>
      <c r="C55" s="110" t="s">
        <v>237</v>
      </c>
      <c r="D55" s="41">
        <v>4151121</v>
      </c>
      <c r="E55" s="85" t="s">
        <v>240</v>
      </c>
      <c r="F55" s="79">
        <f t="shared" si="2"/>
        <v>435000</v>
      </c>
      <c r="G55" s="28"/>
      <c r="H55" s="28"/>
      <c r="I55" s="32">
        <v>435000</v>
      </c>
      <c r="J55" s="32"/>
      <c r="K55" s="79">
        <f t="shared" si="3"/>
        <v>435000</v>
      </c>
      <c r="L55" s="28"/>
      <c r="M55" s="28"/>
      <c r="N55" s="32">
        <v>435000</v>
      </c>
      <c r="O55" s="32"/>
    </row>
    <row r="56" spans="1:15" ht="22.5" customHeight="1">
      <c r="A56" s="49">
        <v>6</v>
      </c>
      <c r="B56" s="5">
        <v>416000</v>
      </c>
      <c r="C56" s="8" t="s">
        <v>286</v>
      </c>
      <c r="D56" s="236" t="s">
        <v>47</v>
      </c>
      <c r="E56" s="245"/>
      <c r="F56" s="78">
        <f t="shared" si="2"/>
        <v>6236000</v>
      </c>
      <c r="G56" s="78"/>
      <c r="H56" s="78"/>
      <c r="I56" s="78">
        <f>+I57+I58</f>
        <v>6146000</v>
      </c>
      <c r="J56" s="78">
        <f>+J57+J58</f>
        <v>90000</v>
      </c>
      <c r="K56" s="78">
        <f t="shared" si="3"/>
        <v>6236000</v>
      </c>
      <c r="L56" s="78"/>
      <c r="M56" s="78"/>
      <c r="N56" s="78">
        <f>+N57+N58</f>
        <v>6146000</v>
      </c>
      <c r="O56" s="78">
        <f>+O57+O58</f>
        <v>90000</v>
      </c>
    </row>
    <row r="57" spans="1:15" ht="19.5" customHeight="1">
      <c r="A57" s="50"/>
      <c r="B57" s="37"/>
      <c r="C57" s="99" t="s">
        <v>283</v>
      </c>
      <c r="D57" s="41">
        <v>416111</v>
      </c>
      <c r="E57" s="85" t="s">
        <v>49</v>
      </c>
      <c r="F57" s="79">
        <f t="shared" si="2"/>
        <v>6146000</v>
      </c>
      <c r="G57" s="28"/>
      <c r="H57" s="28"/>
      <c r="I57" s="28">
        <v>6146000</v>
      </c>
      <c r="J57" s="28"/>
      <c r="K57" s="79">
        <f t="shared" si="3"/>
        <v>6146000</v>
      </c>
      <c r="L57" s="28"/>
      <c r="M57" s="28"/>
      <c r="N57" s="28">
        <v>6146000</v>
      </c>
      <c r="O57" s="28"/>
    </row>
    <row r="58" spans="1:15" ht="23.25" customHeight="1" thickBot="1">
      <c r="A58" s="48"/>
      <c r="B58" s="57"/>
      <c r="C58" s="115" t="s">
        <v>284</v>
      </c>
      <c r="D58" s="92">
        <v>416131</v>
      </c>
      <c r="E58" s="89" t="s">
        <v>234</v>
      </c>
      <c r="F58" s="116">
        <f t="shared" si="2"/>
        <v>90000</v>
      </c>
      <c r="G58" s="117"/>
      <c r="H58" s="117"/>
      <c r="I58" s="117"/>
      <c r="J58" s="117">
        <v>90000</v>
      </c>
      <c r="K58" s="116">
        <f t="shared" si="3"/>
        <v>90000</v>
      </c>
      <c r="L58" s="117"/>
      <c r="M58" s="117"/>
      <c r="N58" s="117"/>
      <c r="O58" s="117">
        <v>90000</v>
      </c>
    </row>
    <row r="59" spans="1:15" ht="24" customHeight="1" thickBot="1" thickTop="1">
      <c r="A59" s="128" t="s">
        <v>23</v>
      </c>
      <c r="B59" s="174">
        <v>420000</v>
      </c>
      <c r="C59" s="174"/>
      <c r="D59" s="242" t="s">
        <v>51</v>
      </c>
      <c r="E59" s="262"/>
      <c r="F59" s="166">
        <f>+F60+F89+F97+F120+F157+F128</f>
        <v>148071968.82</v>
      </c>
      <c r="G59" s="166"/>
      <c r="H59" s="166">
        <f>+H60+H89+H97+H120+H157+H128</f>
        <v>1000000</v>
      </c>
      <c r="I59" s="166">
        <f>+I60+I89+I97+I120+I157+I128</f>
        <v>129664442.61</v>
      </c>
      <c r="J59" s="166">
        <f>+J60+J89+J97+J120+J157+J128</f>
        <v>17407526.21</v>
      </c>
      <c r="K59" s="166">
        <f>+K60+K89+K97+K120+K157+K128</f>
        <v>147784468.82</v>
      </c>
      <c r="L59" s="166"/>
      <c r="M59" s="166">
        <f>+M60+M89+M97+M120+M157+M128</f>
        <v>1000000</v>
      </c>
      <c r="N59" s="166">
        <f>+N60+N89+N97+N120+N157+N128</f>
        <v>129664442.61</v>
      </c>
      <c r="O59" s="166">
        <f>+O60+O89+O97+O120+O157+O128</f>
        <v>17120026.21</v>
      </c>
    </row>
    <row r="60" spans="1:15" ht="24.75" customHeight="1" thickTop="1">
      <c r="A60" s="96">
        <v>1</v>
      </c>
      <c r="B60" s="5">
        <v>421000</v>
      </c>
      <c r="C60" s="25"/>
      <c r="D60" s="252" t="s">
        <v>52</v>
      </c>
      <c r="E60" s="253"/>
      <c r="F60" s="114">
        <f>+F61+F64+F69+F74+F82+F88</f>
        <v>24050304.61</v>
      </c>
      <c r="G60" s="114"/>
      <c r="H60" s="114"/>
      <c r="I60" s="114">
        <f>+I61+I64+I69+I74+I82+I87</f>
        <v>20247304.61</v>
      </c>
      <c r="J60" s="114">
        <f>+J61+J64+J69+J74+J82+J88</f>
        <v>3803000</v>
      </c>
      <c r="K60" s="114">
        <f>+K61+K64+K69+K74+K82+K87</f>
        <v>24050304.61</v>
      </c>
      <c r="L60" s="114"/>
      <c r="M60" s="114"/>
      <c r="N60" s="114">
        <f>+N61+N64+N69+N74+N82+N87</f>
        <v>20247304.61</v>
      </c>
      <c r="O60" s="114">
        <f>+O61+O64+O69+O74+O82+O88</f>
        <v>3803000</v>
      </c>
    </row>
    <row r="61" spans="1:15" ht="24.75" customHeight="1">
      <c r="A61" s="67"/>
      <c r="B61" s="57"/>
      <c r="C61" s="2" t="s">
        <v>289</v>
      </c>
      <c r="D61" s="4">
        <v>421100</v>
      </c>
      <c r="E61" s="17" t="s">
        <v>53</v>
      </c>
      <c r="F61" s="78">
        <f aca="true" t="shared" si="4" ref="F61:F68">SUM(G61:J61)</f>
        <v>1059340</v>
      </c>
      <c r="G61" s="80"/>
      <c r="H61" s="80"/>
      <c r="I61" s="80">
        <f>+I62+I63</f>
        <v>877340</v>
      </c>
      <c r="J61" s="80">
        <f>+J62+J63</f>
        <v>182000</v>
      </c>
      <c r="K61" s="78">
        <f aca="true" t="shared" si="5" ref="K61:K68">SUM(L61:O61)</f>
        <v>1059340</v>
      </c>
      <c r="L61" s="80"/>
      <c r="M61" s="80"/>
      <c r="N61" s="80">
        <f>+N62+N63</f>
        <v>877340</v>
      </c>
      <c r="O61" s="80">
        <f>+O62+O63</f>
        <v>182000</v>
      </c>
    </row>
    <row r="62" spans="1:15" ht="19.5" customHeight="1">
      <c r="A62" s="68"/>
      <c r="B62" s="248"/>
      <c r="C62" s="142" t="s">
        <v>290</v>
      </c>
      <c r="D62" s="41">
        <v>421111</v>
      </c>
      <c r="E62" s="85" t="s">
        <v>55</v>
      </c>
      <c r="F62" s="79">
        <f t="shared" si="4"/>
        <v>974340</v>
      </c>
      <c r="G62" s="28"/>
      <c r="H62" s="28"/>
      <c r="I62" s="28">
        <f>662340+150000</f>
        <v>812340</v>
      </c>
      <c r="J62" s="28">
        <f>180000-18000</f>
        <v>162000</v>
      </c>
      <c r="K62" s="79">
        <f t="shared" si="5"/>
        <v>974340</v>
      </c>
      <c r="L62" s="28"/>
      <c r="M62" s="28"/>
      <c r="N62" s="28">
        <f>662340+150000</f>
        <v>812340</v>
      </c>
      <c r="O62" s="28">
        <f>180000-18000</f>
        <v>162000</v>
      </c>
    </row>
    <row r="63" spans="1:15" ht="19.5" customHeight="1">
      <c r="A63" s="68"/>
      <c r="B63" s="254"/>
      <c r="C63" s="142" t="s">
        <v>54</v>
      </c>
      <c r="D63" s="41">
        <v>421121</v>
      </c>
      <c r="E63" s="85" t="s">
        <v>56</v>
      </c>
      <c r="F63" s="79">
        <f t="shared" si="4"/>
        <v>85000</v>
      </c>
      <c r="G63" s="28"/>
      <c r="H63" s="28"/>
      <c r="I63" s="28">
        <f>50000+15000</f>
        <v>65000</v>
      </c>
      <c r="J63" s="28">
        <v>20000</v>
      </c>
      <c r="K63" s="79">
        <f t="shared" si="5"/>
        <v>85000</v>
      </c>
      <c r="L63" s="28"/>
      <c r="M63" s="28"/>
      <c r="N63" s="28">
        <f>50000+15000</f>
        <v>65000</v>
      </c>
      <c r="O63" s="28">
        <v>20000</v>
      </c>
    </row>
    <row r="64" spans="1:15" ht="24.75" customHeight="1">
      <c r="A64" s="68"/>
      <c r="B64" s="57"/>
      <c r="C64" s="2" t="s">
        <v>57</v>
      </c>
      <c r="D64" s="4">
        <v>421200</v>
      </c>
      <c r="E64" s="17" t="s">
        <v>58</v>
      </c>
      <c r="F64" s="78">
        <f t="shared" si="4"/>
        <v>11925000</v>
      </c>
      <c r="G64" s="11"/>
      <c r="H64" s="11"/>
      <c r="I64" s="11">
        <f>+I65+I66+I67+I68</f>
        <v>11710000</v>
      </c>
      <c r="J64" s="11">
        <f>+J65+J66+J67+J68</f>
        <v>215000</v>
      </c>
      <c r="K64" s="78">
        <f t="shared" si="5"/>
        <v>11925000</v>
      </c>
      <c r="L64" s="11"/>
      <c r="M64" s="11"/>
      <c r="N64" s="11">
        <f>+N65+N66+N67+N68</f>
        <v>11710000</v>
      </c>
      <c r="O64" s="11">
        <f>+O65+O66+O67+O68</f>
        <v>215000</v>
      </c>
    </row>
    <row r="65" spans="1:15" ht="19.5" customHeight="1">
      <c r="A65" s="68"/>
      <c r="B65" s="248"/>
      <c r="C65" s="142" t="s">
        <v>59</v>
      </c>
      <c r="D65" s="41">
        <v>421211</v>
      </c>
      <c r="E65" s="85" t="s">
        <v>60</v>
      </c>
      <c r="F65" s="79">
        <f t="shared" si="4"/>
        <v>6437456</v>
      </c>
      <c r="G65" s="28"/>
      <c r="H65" s="28"/>
      <c r="I65" s="28">
        <v>6337456</v>
      </c>
      <c r="J65" s="28">
        <v>100000</v>
      </c>
      <c r="K65" s="79">
        <f t="shared" si="5"/>
        <v>6437456</v>
      </c>
      <c r="L65" s="28"/>
      <c r="M65" s="28"/>
      <c r="N65" s="28">
        <v>6337456</v>
      </c>
      <c r="O65" s="28">
        <v>100000</v>
      </c>
    </row>
    <row r="66" spans="1:15" ht="19.5" customHeight="1">
      <c r="A66" s="68"/>
      <c r="B66" s="249"/>
      <c r="C66" s="10" t="s">
        <v>61</v>
      </c>
      <c r="D66" s="41">
        <v>421221</v>
      </c>
      <c r="E66" s="85" t="s">
        <v>62</v>
      </c>
      <c r="F66" s="79">
        <f t="shared" si="4"/>
        <v>2550000</v>
      </c>
      <c r="G66" s="28"/>
      <c r="H66" s="28"/>
      <c r="I66" s="28">
        <v>2450000</v>
      </c>
      <c r="J66" s="28">
        <v>100000</v>
      </c>
      <c r="K66" s="79">
        <f t="shared" si="5"/>
        <v>2550000</v>
      </c>
      <c r="L66" s="28"/>
      <c r="M66" s="28"/>
      <c r="N66" s="28">
        <v>2450000</v>
      </c>
      <c r="O66" s="28">
        <v>100000</v>
      </c>
    </row>
    <row r="67" spans="1:15" ht="19.5" customHeight="1">
      <c r="A67" s="68"/>
      <c r="B67" s="249"/>
      <c r="C67" s="10" t="s">
        <v>63</v>
      </c>
      <c r="D67" s="41">
        <v>421224</v>
      </c>
      <c r="E67" s="85" t="s">
        <v>65</v>
      </c>
      <c r="F67" s="79">
        <f t="shared" si="4"/>
        <v>551544</v>
      </c>
      <c r="G67" s="28"/>
      <c r="H67" s="28"/>
      <c r="I67" s="28">
        <v>536544</v>
      </c>
      <c r="J67" s="28">
        <v>15000</v>
      </c>
      <c r="K67" s="79">
        <f t="shared" si="5"/>
        <v>551544</v>
      </c>
      <c r="L67" s="28"/>
      <c r="M67" s="28"/>
      <c r="N67" s="28">
        <v>536544</v>
      </c>
      <c r="O67" s="28">
        <v>15000</v>
      </c>
    </row>
    <row r="68" spans="1:15" ht="19.5" customHeight="1">
      <c r="A68" s="68"/>
      <c r="B68" s="249"/>
      <c r="C68" s="10" t="s">
        <v>64</v>
      </c>
      <c r="D68" s="41">
        <v>421225</v>
      </c>
      <c r="E68" s="85" t="s">
        <v>66</v>
      </c>
      <c r="F68" s="79">
        <f t="shared" si="4"/>
        <v>2386000</v>
      </c>
      <c r="G68" s="28"/>
      <c r="H68" s="28"/>
      <c r="I68" s="28">
        <v>2386000</v>
      </c>
      <c r="J68" s="28"/>
      <c r="K68" s="79">
        <f t="shared" si="5"/>
        <v>2386000</v>
      </c>
      <c r="L68" s="28"/>
      <c r="M68" s="28"/>
      <c r="N68" s="28">
        <v>2386000</v>
      </c>
      <c r="O68" s="28"/>
    </row>
    <row r="69" spans="1:15" ht="21" customHeight="1">
      <c r="A69" s="68"/>
      <c r="B69" s="33"/>
      <c r="C69" s="18" t="s">
        <v>67</v>
      </c>
      <c r="D69" s="4">
        <v>421300</v>
      </c>
      <c r="E69" s="17" t="s">
        <v>68</v>
      </c>
      <c r="F69" s="78">
        <f aca="true" t="shared" si="6" ref="F69:F74">SUM(G69:J69)</f>
        <v>6036136</v>
      </c>
      <c r="G69" s="11"/>
      <c r="H69" s="11"/>
      <c r="I69" s="11">
        <f>+I70+I71+I72+I73</f>
        <v>3323136</v>
      </c>
      <c r="J69" s="11">
        <f>+J70+J71+J72+J73</f>
        <v>2713000</v>
      </c>
      <c r="K69" s="78">
        <f aca="true" t="shared" si="7" ref="K69:K74">SUM(L69:O69)</f>
        <v>6036136</v>
      </c>
      <c r="L69" s="11"/>
      <c r="M69" s="11"/>
      <c r="N69" s="11">
        <f>+N70+N71+N72+N73</f>
        <v>3323136</v>
      </c>
      <c r="O69" s="11">
        <f>+O70+O71+O72+O73</f>
        <v>2713000</v>
      </c>
    </row>
    <row r="70" spans="1:15" ht="19.5" customHeight="1">
      <c r="A70" s="68"/>
      <c r="B70" s="248"/>
      <c r="C70" s="142" t="s">
        <v>69</v>
      </c>
      <c r="D70" s="41">
        <v>421311</v>
      </c>
      <c r="E70" s="85" t="s">
        <v>70</v>
      </c>
      <c r="F70" s="79">
        <f t="shared" si="6"/>
        <v>1205136</v>
      </c>
      <c r="G70" s="28"/>
      <c r="H70" s="28"/>
      <c r="I70" s="28">
        <f>1137000-65000+123136</f>
        <v>1195136</v>
      </c>
      <c r="J70" s="28">
        <v>10000</v>
      </c>
      <c r="K70" s="79">
        <f t="shared" si="7"/>
        <v>1205136</v>
      </c>
      <c r="L70" s="28"/>
      <c r="M70" s="28"/>
      <c r="N70" s="28">
        <f>1137000-65000+123136</f>
        <v>1195136</v>
      </c>
      <c r="O70" s="28">
        <v>10000</v>
      </c>
    </row>
    <row r="71" spans="1:15" ht="19.5" customHeight="1">
      <c r="A71" s="68"/>
      <c r="B71" s="249"/>
      <c r="C71" s="10" t="s">
        <v>71</v>
      </c>
      <c r="D71" s="41">
        <v>421324</v>
      </c>
      <c r="E71" s="145" t="s">
        <v>72</v>
      </c>
      <c r="F71" s="79">
        <f t="shared" si="6"/>
        <v>533000</v>
      </c>
      <c r="G71" s="28"/>
      <c r="H71" s="28"/>
      <c r="I71" s="28">
        <f>550000-20000</f>
        <v>530000</v>
      </c>
      <c r="J71" s="28">
        <v>3000</v>
      </c>
      <c r="K71" s="79">
        <f t="shared" si="7"/>
        <v>533000</v>
      </c>
      <c r="L71" s="28"/>
      <c r="M71" s="28"/>
      <c r="N71" s="28">
        <f>550000-20000</f>
        <v>530000</v>
      </c>
      <c r="O71" s="28">
        <v>3000</v>
      </c>
    </row>
    <row r="72" spans="1:15" ht="19.5" customHeight="1">
      <c r="A72" s="68"/>
      <c r="B72" s="249"/>
      <c r="C72" s="10" t="s">
        <v>73</v>
      </c>
      <c r="D72" s="41">
        <v>4213241</v>
      </c>
      <c r="E72" s="145" t="s">
        <v>324</v>
      </c>
      <c r="F72" s="79">
        <f t="shared" si="6"/>
        <v>398000</v>
      </c>
      <c r="G72" s="28"/>
      <c r="H72" s="28"/>
      <c r="I72" s="28">
        <f>158000+240000</f>
        <v>398000</v>
      </c>
      <c r="J72" s="28"/>
      <c r="K72" s="79">
        <f t="shared" si="7"/>
        <v>398000</v>
      </c>
      <c r="L72" s="28"/>
      <c r="M72" s="28"/>
      <c r="N72" s="28">
        <f>158000+240000</f>
        <v>398000</v>
      </c>
      <c r="O72" s="28"/>
    </row>
    <row r="73" spans="1:15" ht="19.5" customHeight="1">
      <c r="A73" s="68"/>
      <c r="B73" s="23"/>
      <c r="C73" s="10" t="s">
        <v>408</v>
      </c>
      <c r="D73" s="41">
        <v>421325</v>
      </c>
      <c r="E73" s="145" t="s">
        <v>409</v>
      </c>
      <c r="F73" s="79">
        <f t="shared" si="6"/>
        <v>3900000</v>
      </c>
      <c r="G73" s="28"/>
      <c r="H73" s="28"/>
      <c r="I73" s="28">
        <v>1200000</v>
      </c>
      <c r="J73" s="28">
        <v>2700000</v>
      </c>
      <c r="K73" s="79">
        <f t="shared" si="7"/>
        <v>3900000</v>
      </c>
      <c r="L73" s="28"/>
      <c r="M73" s="28"/>
      <c r="N73" s="28">
        <v>1200000</v>
      </c>
      <c r="O73" s="28">
        <v>2700000</v>
      </c>
    </row>
    <row r="74" spans="1:15" ht="24.75" customHeight="1">
      <c r="A74" s="68"/>
      <c r="B74" s="57"/>
      <c r="C74" s="18" t="s">
        <v>74</v>
      </c>
      <c r="D74" s="4">
        <v>421400</v>
      </c>
      <c r="E74" s="17" t="s">
        <v>75</v>
      </c>
      <c r="F74" s="78">
        <f t="shared" si="6"/>
        <v>3352800</v>
      </c>
      <c r="G74" s="11"/>
      <c r="H74" s="11"/>
      <c r="I74" s="11">
        <f>+I75+I78+I80+I77+I79+I76</f>
        <v>2787800</v>
      </c>
      <c r="J74" s="11">
        <f>+J75+J78+J80+J77+J79+J81</f>
        <v>565000</v>
      </c>
      <c r="K74" s="78">
        <f t="shared" si="7"/>
        <v>3352800</v>
      </c>
      <c r="L74" s="11"/>
      <c r="M74" s="11"/>
      <c r="N74" s="11">
        <f>+N75+N78+N80+N77+N79+N76</f>
        <v>2787800</v>
      </c>
      <c r="O74" s="11">
        <f>+O75+O78+O80+O77+O79+O81</f>
        <v>565000</v>
      </c>
    </row>
    <row r="75" spans="1:15" ht="19.5" customHeight="1">
      <c r="A75" s="179"/>
      <c r="B75" s="255"/>
      <c r="C75" s="19" t="s">
        <v>76</v>
      </c>
      <c r="D75" s="41">
        <v>421411</v>
      </c>
      <c r="E75" s="85" t="s">
        <v>77</v>
      </c>
      <c r="F75" s="79">
        <f aca="true" t="shared" si="8" ref="F75:F80">SUM(G75:J75)</f>
        <v>1060270</v>
      </c>
      <c r="G75" s="28"/>
      <c r="H75" s="28"/>
      <c r="I75" s="28">
        <v>1060270</v>
      </c>
      <c r="J75" s="28"/>
      <c r="K75" s="79">
        <f aca="true" t="shared" si="9" ref="K75:K80">SUM(L75:O75)</f>
        <v>1060270</v>
      </c>
      <c r="L75" s="28"/>
      <c r="M75" s="28"/>
      <c r="N75" s="28">
        <v>1060270</v>
      </c>
      <c r="O75" s="28"/>
    </row>
    <row r="76" spans="1:15" ht="19.5" customHeight="1">
      <c r="A76" s="179"/>
      <c r="B76" s="256"/>
      <c r="C76" s="19" t="s">
        <v>78</v>
      </c>
      <c r="D76" s="41">
        <v>42141101</v>
      </c>
      <c r="E76" s="145" t="s">
        <v>365</v>
      </c>
      <c r="F76" s="79">
        <f t="shared" si="8"/>
        <v>100000</v>
      </c>
      <c r="G76" s="28"/>
      <c r="H76" s="28"/>
      <c r="I76" s="28">
        <v>100000</v>
      </c>
      <c r="J76" s="28"/>
      <c r="K76" s="79">
        <f t="shared" si="9"/>
        <v>100000</v>
      </c>
      <c r="L76" s="28"/>
      <c r="M76" s="28"/>
      <c r="N76" s="28">
        <v>100000</v>
      </c>
      <c r="O76" s="28"/>
    </row>
    <row r="77" spans="1:15" ht="19.5" customHeight="1">
      <c r="A77" s="179"/>
      <c r="B77" s="256"/>
      <c r="C77" s="19" t="s">
        <v>80</v>
      </c>
      <c r="D77" s="41">
        <v>421412</v>
      </c>
      <c r="E77" s="145" t="s">
        <v>381</v>
      </c>
      <c r="F77" s="79">
        <f t="shared" si="8"/>
        <v>1584000</v>
      </c>
      <c r="G77" s="28"/>
      <c r="H77" s="28"/>
      <c r="I77" s="28">
        <v>1074000</v>
      </c>
      <c r="J77" s="28">
        <v>510000</v>
      </c>
      <c r="K77" s="79">
        <f t="shared" si="9"/>
        <v>1584000</v>
      </c>
      <c r="L77" s="28"/>
      <c r="M77" s="28"/>
      <c r="N77" s="28">
        <v>1074000</v>
      </c>
      <c r="O77" s="28">
        <v>510000</v>
      </c>
    </row>
    <row r="78" spans="1:15" s="70" customFormat="1" ht="19.5" customHeight="1">
      <c r="A78" s="180"/>
      <c r="B78" s="256"/>
      <c r="C78" s="19" t="s">
        <v>251</v>
      </c>
      <c r="D78" s="41">
        <v>421414</v>
      </c>
      <c r="E78" s="85" t="s">
        <v>79</v>
      </c>
      <c r="F78" s="79">
        <f t="shared" si="8"/>
        <v>220000</v>
      </c>
      <c r="G78" s="28"/>
      <c r="H78" s="28"/>
      <c r="I78" s="28">
        <v>200000</v>
      </c>
      <c r="J78" s="28">
        <v>20000</v>
      </c>
      <c r="K78" s="79">
        <f t="shared" si="9"/>
        <v>220000</v>
      </c>
      <c r="L78" s="28"/>
      <c r="M78" s="28"/>
      <c r="N78" s="28">
        <v>200000</v>
      </c>
      <c r="O78" s="28">
        <v>20000</v>
      </c>
    </row>
    <row r="79" spans="1:15" ht="19.5" customHeight="1">
      <c r="A79" s="179"/>
      <c r="B79" s="256"/>
      <c r="C79" s="19" t="s">
        <v>252</v>
      </c>
      <c r="D79" s="41">
        <v>421421</v>
      </c>
      <c r="E79" s="85" t="s">
        <v>258</v>
      </c>
      <c r="F79" s="79">
        <f t="shared" si="8"/>
        <v>346530</v>
      </c>
      <c r="G79" s="28"/>
      <c r="H79" s="28"/>
      <c r="I79" s="28">
        <f>340000+6530</f>
        <v>346530</v>
      </c>
      <c r="J79" s="28"/>
      <c r="K79" s="79">
        <f t="shared" si="9"/>
        <v>346530</v>
      </c>
      <c r="L79" s="28"/>
      <c r="M79" s="28"/>
      <c r="N79" s="28">
        <f>340000+6530</f>
        <v>346530</v>
      </c>
      <c r="O79" s="28"/>
    </row>
    <row r="80" spans="1:15" ht="19.5" customHeight="1">
      <c r="A80" s="179"/>
      <c r="B80" s="256"/>
      <c r="C80" s="19" t="s">
        <v>253</v>
      </c>
      <c r="D80" s="41">
        <v>421429</v>
      </c>
      <c r="E80" s="145" t="s">
        <v>379</v>
      </c>
      <c r="F80" s="79">
        <f t="shared" si="8"/>
        <v>7000</v>
      </c>
      <c r="G80" s="28"/>
      <c r="H80" s="28"/>
      <c r="I80" s="28">
        <v>7000</v>
      </c>
      <c r="J80" s="28"/>
      <c r="K80" s="79">
        <f t="shared" si="9"/>
        <v>7000</v>
      </c>
      <c r="L80" s="28"/>
      <c r="M80" s="28"/>
      <c r="N80" s="28">
        <v>7000</v>
      </c>
      <c r="O80" s="28"/>
    </row>
    <row r="81" spans="1:15" ht="19.5" customHeight="1">
      <c r="A81" s="179"/>
      <c r="B81" s="51"/>
      <c r="C81" s="19" t="s">
        <v>372</v>
      </c>
      <c r="D81" s="41">
        <v>421419</v>
      </c>
      <c r="E81" s="145" t="s">
        <v>371</v>
      </c>
      <c r="F81" s="79">
        <f>+J81</f>
        <v>35000</v>
      </c>
      <c r="G81" s="28"/>
      <c r="H81" s="28"/>
      <c r="I81" s="28"/>
      <c r="J81" s="28">
        <v>35000</v>
      </c>
      <c r="K81" s="79">
        <f>+O81</f>
        <v>35000</v>
      </c>
      <c r="L81" s="28"/>
      <c r="M81" s="28"/>
      <c r="N81" s="28"/>
      <c r="O81" s="28">
        <v>35000</v>
      </c>
    </row>
    <row r="82" spans="1:15" ht="24.75" customHeight="1">
      <c r="A82" s="68"/>
      <c r="B82" s="57"/>
      <c r="C82" s="18" t="s">
        <v>81</v>
      </c>
      <c r="D82" s="4">
        <v>421500</v>
      </c>
      <c r="E82" s="17" t="s">
        <v>82</v>
      </c>
      <c r="F82" s="78">
        <f>SUM(G82:J82)</f>
        <v>1470028.6099999999</v>
      </c>
      <c r="G82" s="11"/>
      <c r="H82" s="11"/>
      <c r="I82" s="11">
        <f>+I83+I84+I86+I85</f>
        <v>1467028.6099999999</v>
      </c>
      <c r="J82" s="11">
        <f>+J83+J84+J86+J85</f>
        <v>3000</v>
      </c>
      <c r="K82" s="78">
        <f>SUM(L82:O82)</f>
        <v>1470028.6099999999</v>
      </c>
      <c r="L82" s="11"/>
      <c r="M82" s="11"/>
      <c r="N82" s="11">
        <f>+N83+N84+N86+N85</f>
        <v>1467028.6099999999</v>
      </c>
      <c r="O82" s="11">
        <f>+O83+O84+O86+O85</f>
        <v>3000</v>
      </c>
    </row>
    <row r="83" spans="1:15" ht="19.5" customHeight="1">
      <c r="A83" s="68"/>
      <c r="B83" s="248"/>
      <c r="C83" s="19" t="s">
        <v>83</v>
      </c>
      <c r="D83" s="41">
        <v>421512</v>
      </c>
      <c r="E83" s="163" t="s">
        <v>84</v>
      </c>
      <c r="F83" s="79">
        <f>SUM(G83:J83)</f>
        <v>650000</v>
      </c>
      <c r="G83" s="28"/>
      <c r="H83" s="28"/>
      <c r="I83" s="28">
        <v>650000</v>
      </c>
      <c r="J83" s="28"/>
      <c r="K83" s="79">
        <f>SUM(L83:O83)</f>
        <v>650000</v>
      </c>
      <c r="L83" s="28"/>
      <c r="M83" s="28"/>
      <c r="N83" s="28">
        <v>650000</v>
      </c>
      <c r="O83" s="28"/>
    </row>
    <row r="84" spans="1:15" ht="19.5" customHeight="1">
      <c r="A84" s="68"/>
      <c r="B84" s="249"/>
      <c r="C84" s="19" t="s">
        <v>85</v>
      </c>
      <c r="D84" s="41">
        <v>421513</v>
      </c>
      <c r="E84" s="163" t="s">
        <v>233</v>
      </c>
      <c r="F84" s="79">
        <f>SUM(G84:J84)</f>
        <v>207931.74</v>
      </c>
      <c r="G84" s="28"/>
      <c r="H84" s="28"/>
      <c r="I84" s="28">
        <v>207931.74</v>
      </c>
      <c r="J84" s="28"/>
      <c r="K84" s="79">
        <f>SUM(L84:O84)</f>
        <v>207931.74</v>
      </c>
      <c r="L84" s="28"/>
      <c r="M84" s="28"/>
      <c r="N84" s="28">
        <v>207931.74</v>
      </c>
      <c r="O84" s="28"/>
    </row>
    <row r="85" spans="1:15" ht="19.5" customHeight="1">
      <c r="A85" s="68"/>
      <c r="B85" s="249"/>
      <c r="C85" s="19" t="s">
        <v>87</v>
      </c>
      <c r="D85" s="41">
        <v>421519</v>
      </c>
      <c r="E85" s="163" t="s">
        <v>86</v>
      </c>
      <c r="F85" s="79">
        <f>SUM(G85:J85)</f>
        <v>376883.43</v>
      </c>
      <c r="G85" s="28"/>
      <c r="H85" s="28"/>
      <c r="I85" s="28">
        <v>376883.43</v>
      </c>
      <c r="J85" s="28"/>
      <c r="K85" s="79">
        <f>SUM(L85:O85)</f>
        <v>376883.43</v>
      </c>
      <c r="L85" s="28"/>
      <c r="M85" s="28"/>
      <c r="N85" s="28">
        <v>376883.43</v>
      </c>
      <c r="O85" s="28"/>
    </row>
    <row r="86" spans="1:15" ht="24" customHeight="1">
      <c r="A86" s="68"/>
      <c r="B86" s="249"/>
      <c r="C86" s="19" t="s">
        <v>235</v>
      </c>
      <c r="D86" s="41">
        <v>421521</v>
      </c>
      <c r="E86" s="163" t="s">
        <v>88</v>
      </c>
      <c r="F86" s="79">
        <f>SUM(G86:J86)</f>
        <v>235213.44</v>
      </c>
      <c r="G86" s="28"/>
      <c r="H86" s="28"/>
      <c r="I86" s="28">
        <v>232213.44</v>
      </c>
      <c r="J86" s="28">
        <v>3000</v>
      </c>
      <c r="K86" s="79">
        <f>SUM(L86:O86)</f>
        <v>235213.44</v>
      </c>
      <c r="L86" s="28"/>
      <c r="M86" s="28"/>
      <c r="N86" s="28">
        <v>232213.44</v>
      </c>
      <c r="O86" s="28">
        <v>3000</v>
      </c>
    </row>
    <row r="87" spans="1:15" ht="24.75" customHeight="1">
      <c r="A87" s="68"/>
      <c r="B87" s="97"/>
      <c r="C87" s="18" t="s">
        <v>89</v>
      </c>
      <c r="D87" s="4">
        <v>421600</v>
      </c>
      <c r="E87" s="17" t="s">
        <v>244</v>
      </c>
      <c r="F87" s="78">
        <f>+I88</f>
        <v>82000</v>
      </c>
      <c r="G87" s="28"/>
      <c r="H87" s="11"/>
      <c r="I87" s="11">
        <f>+I88</f>
        <v>82000</v>
      </c>
      <c r="J87" s="11">
        <f>+J88</f>
        <v>125000</v>
      </c>
      <c r="K87" s="78">
        <f>+N87+O87</f>
        <v>207000</v>
      </c>
      <c r="L87" s="28"/>
      <c r="M87" s="11"/>
      <c r="N87" s="11">
        <f>+N88</f>
        <v>82000</v>
      </c>
      <c r="O87" s="11">
        <f>+O88</f>
        <v>125000</v>
      </c>
    </row>
    <row r="88" spans="1:15" ht="27.75" customHeight="1">
      <c r="A88" s="68"/>
      <c r="B88" s="138"/>
      <c r="C88" s="143" t="s">
        <v>238</v>
      </c>
      <c r="D88" s="41">
        <v>421625</v>
      </c>
      <c r="E88" s="86" t="s">
        <v>236</v>
      </c>
      <c r="F88" s="79">
        <f>SUM(G88:J88)</f>
        <v>207000</v>
      </c>
      <c r="G88" s="11"/>
      <c r="H88" s="11"/>
      <c r="I88" s="28">
        <v>82000</v>
      </c>
      <c r="J88" s="28">
        <v>125000</v>
      </c>
      <c r="K88" s="79">
        <f>SUM(L88:O88)</f>
        <v>207000</v>
      </c>
      <c r="L88" s="11"/>
      <c r="M88" s="11"/>
      <c r="N88" s="28">
        <v>82000</v>
      </c>
      <c r="O88" s="28">
        <v>125000</v>
      </c>
    </row>
    <row r="89" spans="1:15" ht="21" customHeight="1">
      <c r="A89" s="44">
        <v>2</v>
      </c>
      <c r="B89" s="4">
        <v>422000</v>
      </c>
      <c r="C89" s="41"/>
      <c r="D89" s="236" t="s">
        <v>90</v>
      </c>
      <c r="E89" s="245"/>
      <c r="F89" s="78">
        <f>SUM(G89:J89)</f>
        <v>1634000</v>
      </c>
      <c r="G89" s="78"/>
      <c r="H89" s="78"/>
      <c r="I89" s="78">
        <f>+I90</f>
        <v>1394000</v>
      </c>
      <c r="J89" s="78">
        <f>+J90</f>
        <v>240000</v>
      </c>
      <c r="K89" s="78">
        <f>SUM(L89:O89)</f>
        <v>1634000</v>
      </c>
      <c r="L89" s="78"/>
      <c r="M89" s="78"/>
      <c r="N89" s="78">
        <f>+N90</f>
        <v>1394000</v>
      </c>
      <c r="O89" s="78">
        <f>+O90</f>
        <v>240000</v>
      </c>
    </row>
    <row r="90" spans="1:15" ht="24.75" customHeight="1">
      <c r="A90" s="21"/>
      <c r="B90" s="9"/>
      <c r="C90" s="9" t="s">
        <v>91</v>
      </c>
      <c r="D90" s="4">
        <v>422300</v>
      </c>
      <c r="E90" s="17" t="s">
        <v>92</v>
      </c>
      <c r="F90" s="78">
        <f>+G90+H90+I90+J90</f>
        <v>1634000</v>
      </c>
      <c r="G90" s="11"/>
      <c r="H90" s="11"/>
      <c r="I90" s="11">
        <f>+I92+I95+I96+I91+I93+I94</f>
        <v>1394000</v>
      </c>
      <c r="J90" s="11">
        <f>+J93+J91+J94</f>
        <v>240000</v>
      </c>
      <c r="K90" s="78">
        <f>+L90+M90+N90+O90</f>
        <v>1634000</v>
      </c>
      <c r="L90" s="11"/>
      <c r="M90" s="11"/>
      <c r="N90" s="11">
        <f>+N92+N95+N96+N91+N93+N94</f>
        <v>1394000</v>
      </c>
      <c r="O90" s="11">
        <f>+O93+O91+O94</f>
        <v>240000</v>
      </c>
    </row>
    <row r="91" spans="1:15" ht="24.75" customHeight="1">
      <c r="A91" s="21"/>
      <c r="B91" s="23"/>
      <c r="C91" s="142" t="s">
        <v>291</v>
      </c>
      <c r="D91" s="146">
        <v>422311</v>
      </c>
      <c r="E91" s="145" t="s">
        <v>357</v>
      </c>
      <c r="F91" s="105">
        <f aca="true" t="shared" si="10" ref="F91:F96">+H91+I91+J91</f>
        <v>1210000</v>
      </c>
      <c r="G91" s="106"/>
      <c r="H91" s="106"/>
      <c r="I91" s="106">
        <v>1000000</v>
      </c>
      <c r="J91" s="106">
        <v>210000</v>
      </c>
      <c r="K91" s="105">
        <f aca="true" t="shared" si="11" ref="K91:K96">+M91+N91+O91</f>
        <v>1210000</v>
      </c>
      <c r="L91" s="106"/>
      <c r="M91" s="106"/>
      <c r="N91" s="106">
        <v>1000000</v>
      </c>
      <c r="O91" s="106">
        <v>210000</v>
      </c>
    </row>
    <row r="92" spans="1:15" ht="27.75" customHeight="1">
      <c r="A92" s="21"/>
      <c r="B92" s="141"/>
      <c r="C92" s="142" t="s">
        <v>292</v>
      </c>
      <c r="D92" s="146">
        <v>422321</v>
      </c>
      <c r="E92" s="145" t="s">
        <v>92</v>
      </c>
      <c r="F92" s="105">
        <f t="shared" si="10"/>
        <v>251000</v>
      </c>
      <c r="G92" s="106"/>
      <c r="H92" s="106"/>
      <c r="I92" s="106">
        <f>161000+90000</f>
        <v>251000</v>
      </c>
      <c r="J92" s="106"/>
      <c r="K92" s="105">
        <f t="shared" si="11"/>
        <v>251000</v>
      </c>
      <c r="L92" s="106"/>
      <c r="M92" s="106"/>
      <c r="N92" s="106">
        <f>161000+90000</f>
        <v>251000</v>
      </c>
      <c r="O92" s="106"/>
    </row>
    <row r="93" spans="1:15" ht="21.75" customHeight="1">
      <c r="A93" s="21"/>
      <c r="B93" s="141"/>
      <c r="C93" s="142" t="s">
        <v>293</v>
      </c>
      <c r="D93" s="146">
        <v>42232101</v>
      </c>
      <c r="E93" s="145" t="s">
        <v>358</v>
      </c>
      <c r="F93" s="105">
        <f t="shared" si="10"/>
        <v>65000</v>
      </c>
      <c r="G93" s="106"/>
      <c r="H93" s="106"/>
      <c r="I93" s="106">
        <v>35000</v>
      </c>
      <c r="J93" s="106">
        <v>30000</v>
      </c>
      <c r="K93" s="105">
        <f t="shared" si="11"/>
        <v>65000</v>
      </c>
      <c r="L93" s="106"/>
      <c r="M93" s="106"/>
      <c r="N93" s="106">
        <v>35000</v>
      </c>
      <c r="O93" s="106">
        <v>30000</v>
      </c>
    </row>
    <row r="94" spans="1:15" ht="24.75" customHeight="1">
      <c r="A94" s="21"/>
      <c r="B94" s="141"/>
      <c r="C94" s="142" t="s">
        <v>360</v>
      </c>
      <c r="D94" s="146">
        <v>42232102</v>
      </c>
      <c r="E94" s="145" t="s">
        <v>359</v>
      </c>
      <c r="F94" s="105">
        <f t="shared" si="10"/>
        <v>15000</v>
      </c>
      <c r="G94" s="106"/>
      <c r="H94" s="106"/>
      <c r="I94" s="106">
        <v>15000</v>
      </c>
      <c r="J94" s="106"/>
      <c r="K94" s="105">
        <f t="shared" si="11"/>
        <v>15000</v>
      </c>
      <c r="L94" s="106"/>
      <c r="M94" s="106"/>
      <c r="N94" s="106">
        <v>15000</v>
      </c>
      <c r="O94" s="106"/>
    </row>
    <row r="95" spans="1:15" ht="23.25" customHeight="1">
      <c r="A95" s="21"/>
      <c r="B95" s="141"/>
      <c r="C95" s="142" t="s">
        <v>362</v>
      </c>
      <c r="D95" s="146">
        <v>42232103</v>
      </c>
      <c r="E95" s="145" t="s">
        <v>361</v>
      </c>
      <c r="F95" s="105">
        <f t="shared" si="10"/>
        <v>63000</v>
      </c>
      <c r="G95" s="106"/>
      <c r="H95" s="106"/>
      <c r="I95" s="106">
        <v>63000</v>
      </c>
      <c r="J95" s="106"/>
      <c r="K95" s="105">
        <f t="shared" si="11"/>
        <v>63000</v>
      </c>
      <c r="L95" s="106"/>
      <c r="M95" s="106"/>
      <c r="N95" s="106">
        <v>63000</v>
      </c>
      <c r="O95" s="106"/>
    </row>
    <row r="96" spans="1:15" s="39" customFormat="1" ht="24" customHeight="1">
      <c r="A96" s="22"/>
      <c r="B96" s="141"/>
      <c r="C96" s="142" t="s">
        <v>363</v>
      </c>
      <c r="D96" s="146">
        <v>42232104</v>
      </c>
      <c r="E96" s="145" t="s">
        <v>364</v>
      </c>
      <c r="F96" s="105">
        <f t="shared" si="10"/>
        <v>30000</v>
      </c>
      <c r="G96" s="106"/>
      <c r="H96" s="106"/>
      <c r="I96" s="106">
        <v>30000</v>
      </c>
      <c r="J96" s="106"/>
      <c r="K96" s="105">
        <f t="shared" si="11"/>
        <v>30000</v>
      </c>
      <c r="L96" s="106"/>
      <c r="M96" s="106"/>
      <c r="N96" s="106">
        <v>30000</v>
      </c>
      <c r="O96" s="106"/>
    </row>
    <row r="97" spans="1:15" s="39" customFormat="1" ht="23.25" customHeight="1">
      <c r="A97" s="49">
        <v>3</v>
      </c>
      <c r="B97" s="4">
        <v>423000</v>
      </c>
      <c r="C97" s="41"/>
      <c r="D97" s="246" t="s">
        <v>93</v>
      </c>
      <c r="E97" s="247"/>
      <c r="F97" s="78">
        <f>SUM(G97:J97)</f>
        <v>9721500</v>
      </c>
      <c r="G97" s="78"/>
      <c r="H97" s="78"/>
      <c r="I97" s="78">
        <f>+I98+I100+I102+I106+I108+I113+I115+I118</f>
        <v>5606000</v>
      </c>
      <c r="J97" s="78">
        <f>+J98+J100+J102+J106+J108+J113+J115+J118</f>
        <v>4115500</v>
      </c>
      <c r="K97" s="78">
        <f>SUM(L97:O97)</f>
        <v>9721500</v>
      </c>
      <c r="L97" s="78"/>
      <c r="M97" s="78"/>
      <c r="N97" s="78">
        <f>+N98+N100+N102+N106+N108+N113+N115+N118</f>
        <v>5606000</v>
      </c>
      <c r="O97" s="78">
        <f>+O98+O100+O102+O106+O108+O113+O115+O118</f>
        <v>4115500</v>
      </c>
    </row>
    <row r="98" spans="1:15" s="39" customFormat="1" ht="24.75" customHeight="1">
      <c r="A98" s="50"/>
      <c r="B98" s="148"/>
      <c r="C98" s="9" t="s">
        <v>94</v>
      </c>
      <c r="D98" s="4">
        <v>423100</v>
      </c>
      <c r="E98" s="147" t="s">
        <v>294</v>
      </c>
      <c r="F98" s="78">
        <f>SUM(G98:J98)</f>
        <v>1925000</v>
      </c>
      <c r="G98" s="78"/>
      <c r="H98" s="78"/>
      <c r="I98" s="78">
        <f>+I99</f>
        <v>425000</v>
      </c>
      <c r="J98" s="78">
        <f>+J99</f>
        <v>1500000</v>
      </c>
      <c r="K98" s="78">
        <f>SUM(L98:O98)</f>
        <v>1925000</v>
      </c>
      <c r="L98" s="78"/>
      <c r="M98" s="78"/>
      <c r="N98" s="78">
        <f>+N99</f>
        <v>425000</v>
      </c>
      <c r="O98" s="78">
        <f>+O99</f>
        <v>1500000</v>
      </c>
    </row>
    <row r="99" spans="1:15" s="39" customFormat="1" ht="24.75" customHeight="1">
      <c r="A99" s="49"/>
      <c r="B99" s="148"/>
      <c r="C99" s="142" t="s">
        <v>295</v>
      </c>
      <c r="D99" s="146">
        <v>423191</v>
      </c>
      <c r="E99" s="17" t="s">
        <v>296</v>
      </c>
      <c r="F99" s="105">
        <f>SUM(G99:J99)</f>
        <v>1925000</v>
      </c>
      <c r="G99" s="106"/>
      <c r="H99" s="106"/>
      <c r="I99" s="106">
        <v>425000</v>
      </c>
      <c r="J99" s="106">
        <v>1500000</v>
      </c>
      <c r="K99" s="105">
        <f>SUM(L99:O99)</f>
        <v>1925000</v>
      </c>
      <c r="L99" s="106"/>
      <c r="M99" s="106"/>
      <c r="N99" s="106">
        <v>425000</v>
      </c>
      <c r="O99" s="106">
        <v>1500000</v>
      </c>
    </row>
    <row r="100" spans="1:15" s="39" customFormat="1" ht="24.75" customHeight="1">
      <c r="A100" s="21"/>
      <c r="B100" s="149"/>
      <c r="C100" s="9" t="s">
        <v>95</v>
      </c>
      <c r="D100" s="4">
        <v>423200</v>
      </c>
      <c r="E100" s="17" t="s">
        <v>298</v>
      </c>
      <c r="F100" s="78">
        <f>SUM(G100:J100)</f>
        <v>2400000</v>
      </c>
      <c r="G100" s="11"/>
      <c r="H100" s="11"/>
      <c r="I100" s="11">
        <f>+I101</f>
        <v>2400000</v>
      </c>
      <c r="J100" s="11"/>
      <c r="K100" s="78">
        <f>SUM(L100:O100)</f>
        <v>2400000</v>
      </c>
      <c r="L100" s="11"/>
      <c r="M100" s="11"/>
      <c r="N100" s="11">
        <f>+N101</f>
        <v>2400000</v>
      </c>
      <c r="O100" s="11"/>
    </row>
    <row r="101" spans="1:15" s="39" customFormat="1" ht="19.5" customHeight="1">
      <c r="A101" s="21"/>
      <c r="B101" s="53"/>
      <c r="C101" s="10" t="s">
        <v>96</v>
      </c>
      <c r="D101" s="41">
        <v>423212</v>
      </c>
      <c r="E101" s="145" t="s">
        <v>297</v>
      </c>
      <c r="F101" s="79">
        <f>+I101</f>
        <v>2400000</v>
      </c>
      <c r="G101" s="28"/>
      <c r="H101" s="28"/>
      <c r="I101" s="28">
        <v>2400000</v>
      </c>
      <c r="J101" s="28"/>
      <c r="K101" s="79">
        <f>+N101</f>
        <v>2400000</v>
      </c>
      <c r="L101" s="28"/>
      <c r="M101" s="28"/>
      <c r="N101" s="28">
        <v>2400000</v>
      </c>
      <c r="O101" s="28"/>
    </row>
    <row r="102" spans="1:15" s="39" customFormat="1" ht="24.75" customHeight="1">
      <c r="A102" s="21"/>
      <c r="B102" s="149"/>
      <c r="C102" s="9" t="s">
        <v>97</v>
      </c>
      <c r="D102" s="4">
        <v>423300</v>
      </c>
      <c r="E102" s="17" t="s">
        <v>299</v>
      </c>
      <c r="F102" s="78">
        <f>SUM(G102:J102)</f>
        <v>1401500</v>
      </c>
      <c r="G102" s="11"/>
      <c r="H102" s="11"/>
      <c r="I102" s="11">
        <f>+I103+I105</f>
        <v>1250000</v>
      </c>
      <c r="J102" s="11">
        <f>+J103+J105+J104</f>
        <v>151500</v>
      </c>
      <c r="K102" s="78">
        <f>SUM(L102:O102)</f>
        <v>1401500</v>
      </c>
      <c r="L102" s="11"/>
      <c r="M102" s="11"/>
      <c r="N102" s="11">
        <f>+N103+N105</f>
        <v>1250000</v>
      </c>
      <c r="O102" s="11">
        <f>+O103+O105+O104</f>
        <v>151500</v>
      </c>
    </row>
    <row r="103" spans="1:15" s="39" customFormat="1" ht="24.75" customHeight="1">
      <c r="A103" s="21"/>
      <c r="B103" s="248"/>
      <c r="C103" s="10" t="s">
        <v>98</v>
      </c>
      <c r="D103" s="41">
        <v>423311</v>
      </c>
      <c r="E103" s="85" t="s">
        <v>99</v>
      </c>
      <c r="F103" s="79">
        <f>SUM(G103:J103)</f>
        <v>1242800</v>
      </c>
      <c r="G103" s="28"/>
      <c r="H103" s="28"/>
      <c r="I103" s="28">
        <v>1220000</v>
      </c>
      <c r="J103" s="28">
        <v>22800</v>
      </c>
      <c r="K103" s="79">
        <f>SUM(L103:O103)</f>
        <v>1242800</v>
      </c>
      <c r="L103" s="28"/>
      <c r="M103" s="28"/>
      <c r="N103" s="28">
        <v>1220000</v>
      </c>
      <c r="O103" s="28">
        <v>22800</v>
      </c>
    </row>
    <row r="104" spans="1:15" s="39" customFormat="1" ht="19.5" customHeight="1">
      <c r="A104" s="21"/>
      <c r="B104" s="249"/>
      <c r="C104" s="10" t="s">
        <v>100</v>
      </c>
      <c r="D104" s="41">
        <v>42331101</v>
      </c>
      <c r="E104" s="145" t="s">
        <v>370</v>
      </c>
      <c r="F104" s="79">
        <f>SUM(G104:J104)</f>
        <v>52000</v>
      </c>
      <c r="G104" s="28"/>
      <c r="H104" s="28"/>
      <c r="I104" s="28"/>
      <c r="J104" s="28">
        <v>52000</v>
      </c>
      <c r="K104" s="79">
        <f>SUM(L104:O104)</f>
        <v>52000</v>
      </c>
      <c r="L104" s="28"/>
      <c r="M104" s="28"/>
      <c r="N104" s="28"/>
      <c r="O104" s="28">
        <v>52000</v>
      </c>
    </row>
    <row r="105" spans="1:15" s="39" customFormat="1" ht="19.5" customHeight="1">
      <c r="A105" s="21"/>
      <c r="B105" s="249"/>
      <c r="C105" s="142" t="s">
        <v>321</v>
      </c>
      <c r="D105" s="41">
        <v>423321</v>
      </c>
      <c r="E105" s="85" t="s">
        <v>101</v>
      </c>
      <c r="F105" s="79">
        <f>SUM(G105:J105)</f>
        <v>106700</v>
      </c>
      <c r="G105" s="28"/>
      <c r="H105" s="28"/>
      <c r="I105" s="28">
        <v>30000</v>
      </c>
      <c r="J105" s="28">
        <v>76700</v>
      </c>
      <c r="K105" s="79">
        <f>SUM(L105:O105)</f>
        <v>106700</v>
      </c>
      <c r="L105" s="28"/>
      <c r="M105" s="28"/>
      <c r="N105" s="28">
        <v>30000</v>
      </c>
      <c r="O105" s="28">
        <v>76700</v>
      </c>
    </row>
    <row r="106" spans="1:15" s="39" customFormat="1" ht="24.75" customHeight="1">
      <c r="A106" s="21"/>
      <c r="B106" s="57"/>
      <c r="C106" s="9" t="s">
        <v>102</v>
      </c>
      <c r="D106" s="4">
        <v>423400</v>
      </c>
      <c r="E106" s="17" t="s">
        <v>300</v>
      </c>
      <c r="F106" s="78">
        <f aca="true" t="shared" si="12" ref="F106:F115">SUM(G106:J106)</f>
        <v>121000</v>
      </c>
      <c r="G106" s="11"/>
      <c r="H106" s="11"/>
      <c r="I106" s="11">
        <f>+I107</f>
        <v>121000</v>
      </c>
      <c r="J106" s="11"/>
      <c r="K106" s="78">
        <f aca="true" t="shared" si="13" ref="K106:K115">SUM(L106:O106)</f>
        <v>121000</v>
      </c>
      <c r="L106" s="11"/>
      <c r="M106" s="11"/>
      <c r="N106" s="11">
        <f>+N107</f>
        <v>121000</v>
      </c>
      <c r="O106" s="11"/>
    </row>
    <row r="107" spans="1:15" s="39" customFormat="1" ht="28.5" customHeight="1">
      <c r="A107" s="21"/>
      <c r="B107" s="53"/>
      <c r="C107" s="10" t="s">
        <v>103</v>
      </c>
      <c r="D107" s="41">
        <v>423432</v>
      </c>
      <c r="E107" s="85" t="s">
        <v>104</v>
      </c>
      <c r="F107" s="79">
        <f t="shared" si="12"/>
        <v>121000</v>
      </c>
      <c r="G107" s="28"/>
      <c r="H107" s="28"/>
      <c r="I107" s="28">
        <f>100000-50000+71000</f>
        <v>121000</v>
      </c>
      <c r="J107" s="28"/>
      <c r="K107" s="79">
        <f t="shared" si="13"/>
        <v>121000</v>
      </c>
      <c r="L107" s="28"/>
      <c r="M107" s="28"/>
      <c r="N107" s="28">
        <f>100000-50000+71000</f>
        <v>121000</v>
      </c>
      <c r="O107" s="28"/>
    </row>
    <row r="108" spans="1:15" s="39" customFormat="1" ht="24.75" customHeight="1">
      <c r="A108" s="21"/>
      <c r="B108" s="97"/>
      <c r="C108" s="9" t="s">
        <v>105</v>
      </c>
      <c r="D108" s="4">
        <v>423500</v>
      </c>
      <c r="E108" s="17" t="s">
        <v>301</v>
      </c>
      <c r="F108" s="78">
        <f t="shared" si="12"/>
        <v>1594000</v>
      </c>
      <c r="G108" s="11"/>
      <c r="H108" s="11"/>
      <c r="I108" s="11">
        <f>+I109+I110+I111+I112</f>
        <v>10000</v>
      </c>
      <c r="J108" s="11">
        <f>+J109+J110+J111+J112</f>
        <v>1584000</v>
      </c>
      <c r="K108" s="78">
        <f t="shared" si="13"/>
        <v>1594000</v>
      </c>
      <c r="L108" s="11"/>
      <c r="M108" s="11"/>
      <c r="N108" s="11">
        <f>+N109+N110+N111+N112</f>
        <v>10000</v>
      </c>
      <c r="O108" s="11">
        <f>+O109+O110+O111+O112</f>
        <v>1584000</v>
      </c>
    </row>
    <row r="109" spans="1:15" s="39" customFormat="1" ht="23.25" customHeight="1">
      <c r="A109" s="27"/>
      <c r="B109" s="91"/>
      <c r="C109" s="144" t="s">
        <v>302</v>
      </c>
      <c r="D109" s="146">
        <v>423591</v>
      </c>
      <c r="E109" s="145" t="s">
        <v>234</v>
      </c>
      <c r="F109" s="105">
        <f t="shared" si="12"/>
        <v>250000</v>
      </c>
      <c r="G109" s="106"/>
      <c r="H109" s="106"/>
      <c r="I109" s="106"/>
      <c r="J109" s="28">
        <v>250000</v>
      </c>
      <c r="K109" s="105">
        <f t="shared" si="13"/>
        <v>250000</v>
      </c>
      <c r="L109" s="106"/>
      <c r="M109" s="106"/>
      <c r="N109" s="106"/>
      <c r="O109" s="28">
        <v>250000</v>
      </c>
    </row>
    <row r="110" spans="1:15" s="39" customFormat="1" ht="33.75" customHeight="1">
      <c r="A110" s="27"/>
      <c r="B110" s="68"/>
      <c r="C110" s="144" t="s">
        <v>303</v>
      </c>
      <c r="D110" s="146">
        <v>4235991</v>
      </c>
      <c r="E110" s="150" t="s">
        <v>241</v>
      </c>
      <c r="F110" s="105">
        <f t="shared" si="12"/>
        <v>350000</v>
      </c>
      <c r="G110" s="106"/>
      <c r="H110" s="106"/>
      <c r="I110" s="106"/>
      <c r="J110" s="106">
        <v>350000</v>
      </c>
      <c r="K110" s="105">
        <f t="shared" si="13"/>
        <v>350000</v>
      </c>
      <c r="L110" s="106"/>
      <c r="M110" s="106"/>
      <c r="N110" s="106"/>
      <c r="O110" s="106">
        <v>350000</v>
      </c>
    </row>
    <row r="111" spans="1:15" ht="19.5" customHeight="1">
      <c r="A111" s="27"/>
      <c r="B111" s="69"/>
      <c r="C111" s="144" t="s">
        <v>304</v>
      </c>
      <c r="D111" s="146">
        <v>4235992</v>
      </c>
      <c r="E111" s="17" t="s">
        <v>305</v>
      </c>
      <c r="F111" s="105">
        <f t="shared" si="12"/>
        <v>110000</v>
      </c>
      <c r="G111" s="106"/>
      <c r="H111" s="106"/>
      <c r="I111" s="106">
        <v>10000</v>
      </c>
      <c r="J111" s="106">
        <v>100000</v>
      </c>
      <c r="K111" s="105">
        <f t="shared" si="13"/>
        <v>110000</v>
      </c>
      <c r="L111" s="106"/>
      <c r="M111" s="106"/>
      <c r="N111" s="106">
        <v>10000</v>
      </c>
      <c r="O111" s="106">
        <v>100000</v>
      </c>
    </row>
    <row r="112" spans="1:15" ht="19.5" customHeight="1">
      <c r="A112" s="27"/>
      <c r="B112" s="69"/>
      <c r="C112" s="144" t="s">
        <v>382</v>
      </c>
      <c r="D112" s="146">
        <v>423599</v>
      </c>
      <c r="E112" s="17" t="s">
        <v>378</v>
      </c>
      <c r="F112" s="105">
        <f t="shared" si="12"/>
        <v>884000</v>
      </c>
      <c r="G112" s="106"/>
      <c r="H112" s="106"/>
      <c r="I112" s="106"/>
      <c r="J112" s="106">
        <v>884000</v>
      </c>
      <c r="K112" s="105">
        <f t="shared" si="13"/>
        <v>884000</v>
      </c>
      <c r="L112" s="106"/>
      <c r="M112" s="106"/>
      <c r="N112" s="106"/>
      <c r="O112" s="106">
        <v>884000</v>
      </c>
    </row>
    <row r="113" spans="1:15" ht="24.75" customHeight="1">
      <c r="A113" s="27"/>
      <c r="B113" s="33"/>
      <c r="C113" s="9" t="s">
        <v>106</v>
      </c>
      <c r="D113" s="4">
        <v>423600</v>
      </c>
      <c r="E113" s="17" t="s">
        <v>306</v>
      </c>
      <c r="F113" s="78">
        <f t="shared" si="12"/>
        <v>1280000</v>
      </c>
      <c r="G113" s="11"/>
      <c r="H113" s="11"/>
      <c r="I113" s="11">
        <f>+I114</f>
        <v>1280000</v>
      </c>
      <c r="J113" s="11"/>
      <c r="K113" s="78">
        <f t="shared" si="13"/>
        <v>1280000</v>
      </c>
      <c r="L113" s="11"/>
      <c r="M113" s="11"/>
      <c r="N113" s="11">
        <f>+N114</f>
        <v>1280000</v>
      </c>
      <c r="O113" s="11"/>
    </row>
    <row r="114" spans="1:15" ht="19.5" customHeight="1">
      <c r="A114" s="21"/>
      <c r="B114" s="140"/>
      <c r="C114" s="142" t="s">
        <v>307</v>
      </c>
      <c r="D114" s="146">
        <v>423611</v>
      </c>
      <c r="E114" s="145" t="s">
        <v>259</v>
      </c>
      <c r="F114" s="105">
        <f t="shared" si="12"/>
        <v>1280000</v>
      </c>
      <c r="G114" s="106"/>
      <c r="H114" s="106"/>
      <c r="I114" s="106">
        <f>1150000+130000</f>
        <v>1280000</v>
      </c>
      <c r="J114" s="11"/>
      <c r="K114" s="105">
        <f t="shared" si="13"/>
        <v>1280000</v>
      </c>
      <c r="L114" s="106"/>
      <c r="M114" s="106"/>
      <c r="N114" s="106">
        <f>1150000+130000</f>
        <v>1280000</v>
      </c>
      <c r="O114" s="11"/>
    </row>
    <row r="115" spans="1:15" ht="24.75" customHeight="1">
      <c r="A115" s="21"/>
      <c r="B115" s="139"/>
      <c r="C115" s="9" t="s">
        <v>108</v>
      </c>
      <c r="D115" s="4">
        <v>423700</v>
      </c>
      <c r="E115" s="17" t="s">
        <v>107</v>
      </c>
      <c r="F115" s="78">
        <f t="shared" si="12"/>
        <v>580000</v>
      </c>
      <c r="G115" s="11"/>
      <c r="H115" s="11"/>
      <c r="I115" s="11"/>
      <c r="J115" s="11">
        <f>+J116+J117</f>
        <v>580000</v>
      </c>
      <c r="K115" s="78">
        <f t="shared" si="13"/>
        <v>580000</v>
      </c>
      <c r="L115" s="11"/>
      <c r="M115" s="11"/>
      <c r="N115" s="11"/>
      <c r="O115" s="11">
        <f>+O116+O117</f>
        <v>580000</v>
      </c>
    </row>
    <row r="116" spans="1:15" ht="19.5" customHeight="1">
      <c r="A116" s="27"/>
      <c r="B116" s="67"/>
      <c r="C116" s="144" t="s">
        <v>308</v>
      </c>
      <c r="D116" s="146">
        <v>423711</v>
      </c>
      <c r="E116" s="145" t="s">
        <v>107</v>
      </c>
      <c r="F116" s="105">
        <f>+J116</f>
        <v>480000</v>
      </c>
      <c r="G116" s="106"/>
      <c r="H116" s="106"/>
      <c r="I116" s="106"/>
      <c r="J116" s="106">
        <v>480000</v>
      </c>
      <c r="K116" s="105">
        <f>+O116</f>
        <v>480000</v>
      </c>
      <c r="L116" s="106"/>
      <c r="M116" s="106"/>
      <c r="N116" s="106"/>
      <c r="O116" s="106">
        <v>480000</v>
      </c>
    </row>
    <row r="117" spans="1:15" ht="19.5" customHeight="1">
      <c r="A117" s="27"/>
      <c r="B117" s="69"/>
      <c r="C117" s="144" t="s">
        <v>330</v>
      </c>
      <c r="D117" s="146">
        <v>423712</v>
      </c>
      <c r="E117" s="145" t="s">
        <v>329</v>
      </c>
      <c r="F117" s="105">
        <f>+J117</f>
        <v>100000</v>
      </c>
      <c r="G117" s="106"/>
      <c r="H117" s="106"/>
      <c r="I117" s="106"/>
      <c r="J117" s="106">
        <v>100000</v>
      </c>
      <c r="K117" s="105">
        <f>+O117</f>
        <v>100000</v>
      </c>
      <c r="L117" s="106"/>
      <c r="M117" s="106"/>
      <c r="N117" s="106"/>
      <c r="O117" s="106">
        <v>100000</v>
      </c>
    </row>
    <row r="118" spans="1:15" ht="24.75" customHeight="1">
      <c r="A118" s="21"/>
      <c r="B118" s="140"/>
      <c r="C118" s="9" t="s">
        <v>239</v>
      </c>
      <c r="D118" s="4">
        <v>423900</v>
      </c>
      <c r="E118" s="17" t="s">
        <v>109</v>
      </c>
      <c r="F118" s="78">
        <f>SUM(G118:J118)</f>
        <v>420000</v>
      </c>
      <c r="G118" s="11"/>
      <c r="H118" s="11"/>
      <c r="I118" s="11">
        <f>+I119</f>
        <v>120000</v>
      </c>
      <c r="J118" s="11">
        <f>+J119</f>
        <v>300000</v>
      </c>
      <c r="K118" s="78">
        <f>SUM(L118:O118)</f>
        <v>420000</v>
      </c>
      <c r="L118" s="11"/>
      <c r="M118" s="11"/>
      <c r="N118" s="11">
        <f>+N119</f>
        <v>120000</v>
      </c>
      <c r="O118" s="11">
        <f>+O119</f>
        <v>300000</v>
      </c>
    </row>
    <row r="119" spans="1:15" ht="19.5" customHeight="1">
      <c r="A119" s="22"/>
      <c r="B119" s="149"/>
      <c r="C119" s="142" t="s">
        <v>309</v>
      </c>
      <c r="D119" s="146">
        <v>423911</v>
      </c>
      <c r="E119" s="17" t="s">
        <v>109</v>
      </c>
      <c r="F119" s="105">
        <f>SUM(G119:J119)</f>
        <v>420000</v>
      </c>
      <c r="G119" s="106"/>
      <c r="H119" s="106"/>
      <c r="I119" s="106">
        <v>120000</v>
      </c>
      <c r="J119" s="106">
        <v>300000</v>
      </c>
      <c r="K119" s="105">
        <f>SUM(L119:O119)</f>
        <v>420000</v>
      </c>
      <c r="L119" s="106"/>
      <c r="M119" s="106"/>
      <c r="N119" s="106">
        <v>120000</v>
      </c>
      <c r="O119" s="106">
        <v>300000</v>
      </c>
    </row>
    <row r="120" spans="1:15" ht="25.5" customHeight="1">
      <c r="A120" s="13">
        <v>4</v>
      </c>
      <c r="B120" s="4">
        <v>424000</v>
      </c>
      <c r="C120" s="41"/>
      <c r="D120" s="236" t="s">
        <v>110</v>
      </c>
      <c r="E120" s="245"/>
      <c r="F120" s="78">
        <f>SUM(G120:J120)</f>
        <v>3791082</v>
      </c>
      <c r="G120" s="78"/>
      <c r="H120" s="78"/>
      <c r="I120" s="78">
        <f>+I121+I126+I124</f>
        <v>345000</v>
      </c>
      <c r="J120" s="78">
        <f>+J121+J127+J124</f>
        <v>3446082</v>
      </c>
      <c r="K120" s="78">
        <f>SUM(L120:O120)</f>
        <v>3503582</v>
      </c>
      <c r="L120" s="78"/>
      <c r="M120" s="78"/>
      <c r="N120" s="78">
        <f>+N121+N126+N124</f>
        <v>345000</v>
      </c>
      <c r="O120" s="78">
        <f>+O121+O127+O124</f>
        <v>3158582</v>
      </c>
    </row>
    <row r="121" spans="1:15" ht="24.75" customHeight="1">
      <c r="A121" s="82"/>
      <c r="B121" s="67"/>
      <c r="C121" s="84" t="s">
        <v>111</v>
      </c>
      <c r="D121" s="4">
        <v>424300</v>
      </c>
      <c r="E121" s="17" t="s">
        <v>325</v>
      </c>
      <c r="F121" s="78">
        <f>SUM(G121:J121)</f>
        <v>395000</v>
      </c>
      <c r="G121" s="11"/>
      <c r="H121" s="11"/>
      <c r="I121" s="11">
        <f>+I122</f>
        <v>295000</v>
      </c>
      <c r="J121" s="11">
        <f>+J122+J123</f>
        <v>100000</v>
      </c>
      <c r="K121" s="78">
        <f>SUM(L121:O121)</f>
        <v>395000</v>
      </c>
      <c r="L121" s="11"/>
      <c r="M121" s="11"/>
      <c r="N121" s="11">
        <f>+N122</f>
        <v>295000</v>
      </c>
      <c r="O121" s="11">
        <f>+O122+O123</f>
        <v>100000</v>
      </c>
    </row>
    <row r="122" spans="1:15" ht="26.25" customHeight="1">
      <c r="A122" s="27"/>
      <c r="B122" s="52"/>
      <c r="C122" s="158" t="s">
        <v>112</v>
      </c>
      <c r="D122" s="42">
        <v>424331</v>
      </c>
      <c r="E122" s="89" t="s">
        <v>114</v>
      </c>
      <c r="F122" s="79">
        <f>SUM(G122:J122)</f>
        <v>295000</v>
      </c>
      <c r="G122" s="28"/>
      <c r="H122" s="28"/>
      <c r="I122" s="28">
        <v>295000</v>
      </c>
      <c r="J122" s="28"/>
      <c r="K122" s="79">
        <f>SUM(L122:O122)</f>
        <v>295000</v>
      </c>
      <c r="L122" s="28"/>
      <c r="M122" s="28"/>
      <c r="N122" s="28">
        <v>295000</v>
      </c>
      <c r="O122" s="28"/>
    </row>
    <row r="123" spans="1:15" ht="19.5" customHeight="1">
      <c r="A123" s="27"/>
      <c r="B123" s="52"/>
      <c r="C123" s="158" t="s">
        <v>113</v>
      </c>
      <c r="D123" s="42">
        <v>424351</v>
      </c>
      <c r="E123" s="173" t="s">
        <v>268</v>
      </c>
      <c r="F123" s="79">
        <f>+J123</f>
        <v>100000</v>
      </c>
      <c r="G123" s="28"/>
      <c r="H123" s="28"/>
      <c r="I123" s="28"/>
      <c r="J123" s="28">
        <v>100000</v>
      </c>
      <c r="K123" s="79">
        <f>+O123</f>
        <v>100000</v>
      </c>
      <c r="L123" s="28"/>
      <c r="M123" s="28"/>
      <c r="N123" s="28"/>
      <c r="O123" s="28">
        <v>100000</v>
      </c>
    </row>
    <row r="124" spans="1:15" ht="19.5" customHeight="1">
      <c r="A124" s="27"/>
      <c r="B124" s="52"/>
      <c r="C124" s="53" t="s">
        <v>250</v>
      </c>
      <c r="D124" s="24">
        <v>424600</v>
      </c>
      <c r="E124" s="183" t="s">
        <v>388</v>
      </c>
      <c r="F124" s="78">
        <f>+I124+J124</f>
        <v>100000</v>
      </c>
      <c r="G124" s="11"/>
      <c r="H124" s="11"/>
      <c r="I124" s="11">
        <f>+I125</f>
        <v>50000</v>
      </c>
      <c r="J124" s="11">
        <f>+J125</f>
        <v>50000</v>
      </c>
      <c r="K124" s="78">
        <f>+N124+O124</f>
        <v>100000</v>
      </c>
      <c r="L124" s="11"/>
      <c r="M124" s="11"/>
      <c r="N124" s="11">
        <f>+N125</f>
        <v>50000</v>
      </c>
      <c r="O124" s="11">
        <f>+O125</f>
        <v>50000</v>
      </c>
    </row>
    <row r="125" spans="1:15" ht="19.5" customHeight="1">
      <c r="A125" s="27"/>
      <c r="B125" s="52"/>
      <c r="C125" s="144" t="s">
        <v>249</v>
      </c>
      <c r="D125" s="42">
        <v>424611</v>
      </c>
      <c r="E125" s="184" t="s">
        <v>389</v>
      </c>
      <c r="F125" s="79">
        <f>+I125+J125</f>
        <v>100000</v>
      </c>
      <c r="G125" s="28"/>
      <c r="H125" s="28"/>
      <c r="I125" s="28">
        <v>50000</v>
      </c>
      <c r="J125" s="28">
        <v>50000</v>
      </c>
      <c r="K125" s="79">
        <f>+N125+O125</f>
        <v>100000</v>
      </c>
      <c r="L125" s="28"/>
      <c r="M125" s="28"/>
      <c r="N125" s="28">
        <v>50000</v>
      </c>
      <c r="O125" s="28">
        <v>50000</v>
      </c>
    </row>
    <row r="126" spans="1:15" s="71" customFormat="1" ht="24.75" customHeight="1">
      <c r="A126" s="27"/>
      <c r="B126" s="9"/>
      <c r="C126" s="53" t="s">
        <v>386</v>
      </c>
      <c r="D126" s="4">
        <v>424900</v>
      </c>
      <c r="E126" s="164" t="s">
        <v>310</v>
      </c>
      <c r="F126" s="78">
        <f aca="true" t="shared" si="14" ref="F126:F132">SUM(G126:J126)</f>
        <v>3296082</v>
      </c>
      <c r="G126" s="11"/>
      <c r="H126" s="11"/>
      <c r="I126" s="11"/>
      <c r="J126" s="11">
        <f>+J127</f>
        <v>3296082</v>
      </c>
      <c r="K126" s="78">
        <f aca="true" t="shared" si="15" ref="K126:K132">SUM(L126:O126)</f>
        <v>3008582</v>
      </c>
      <c r="L126" s="11"/>
      <c r="M126" s="11"/>
      <c r="N126" s="11"/>
      <c r="O126" s="11">
        <f>+O127</f>
        <v>3008582</v>
      </c>
    </row>
    <row r="127" spans="1:15" s="72" customFormat="1" ht="28.5" customHeight="1">
      <c r="A127" s="83"/>
      <c r="B127" s="51"/>
      <c r="C127" s="205" t="s">
        <v>387</v>
      </c>
      <c r="D127" s="206">
        <v>424911</v>
      </c>
      <c r="E127" s="207" t="s">
        <v>311</v>
      </c>
      <c r="F127" s="208">
        <f t="shared" si="14"/>
        <v>3296082</v>
      </c>
      <c r="G127" s="209"/>
      <c r="H127" s="209"/>
      <c r="I127" s="209"/>
      <c r="J127" s="209">
        <f>3200000-150000+7725+238357</f>
        <v>3296082</v>
      </c>
      <c r="K127" s="208">
        <f t="shared" si="15"/>
        <v>3008582</v>
      </c>
      <c r="L127" s="209"/>
      <c r="M127" s="209"/>
      <c r="N127" s="209"/>
      <c r="O127" s="209">
        <f>3200000-150000+7725+238357-25000-262500</f>
        <v>3008582</v>
      </c>
    </row>
    <row r="128" spans="1:15" ht="23.25" customHeight="1">
      <c r="A128" s="49">
        <v>5</v>
      </c>
      <c r="B128" s="5">
        <v>425000</v>
      </c>
      <c r="C128" s="25"/>
      <c r="D128" s="236" t="s">
        <v>115</v>
      </c>
      <c r="E128" s="245"/>
      <c r="F128" s="78">
        <f t="shared" si="14"/>
        <v>20433195</v>
      </c>
      <c r="G128" s="78"/>
      <c r="H128" s="78">
        <f>H129+H140</f>
        <v>0</v>
      </c>
      <c r="I128" s="78">
        <f>I129+I140</f>
        <v>20159195</v>
      </c>
      <c r="J128" s="78">
        <f>J129+J140</f>
        <v>274000</v>
      </c>
      <c r="K128" s="78">
        <f t="shared" si="15"/>
        <v>20433195</v>
      </c>
      <c r="L128" s="78"/>
      <c r="M128" s="78">
        <f>M129+M140</f>
        <v>0</v>
      </c>
      <c r="N128" s="78">
        <f>N129+N140</f>
        <v>20159195</v>
      </c>
      <c r="O128" s="78">
        <f>O129+O140</f>
        <v>274000</v>
      </c>
    </row>
    <row r="129" spans="1:15" s="39" customFormat="1" ht="24.75" customHeight="1">
      <c r="A129" s="20"/>
      <c r="B129" s="149"/>
      <c r="C129" s="9" t="s">
        <v>116</v>
      </c>
      <c r="D129" s="4">
        <v>425100</v>
      </c>
      <c r="E129" s="17" t="s">
        <v>312</v>
      </c>
      <c r="F129" s="78">
        <f t="shared" si="14"/>
        <v>1300000</v>
      </c>
      <c r="G129" s="11"/>
      <c r="H129" s="11">
        <f>+H130+H131+H132+H133+H134+H135+H136+H138+H137+H139</f>
        <v>0</v>
      </c>
      <c r="I129" s="11">
        <f>+I130+I131+I132+I133+I134+I135+I136+I138+I137+I139</f>
        <v>1300000</v>
      </c>
      <c r="J129" s="11">
        <f>+J130+J131+J132+J133+J134+J135+J136+J138</f>
        <v>0</v>
      </c>
      <c r="K129" s="78">
        <f t="shared" si="15"/>
        <v>1300000</v>
      </c>
      <c r="L129" s="11"/>
      <c r="M129" s="11">
        <f>+M130+M131+M132+M133+M134+M135+M136+M138+M137+M139</f>
        <v>0</v>
      </c>
      <c r="N129" s="11">
        <f>+N130+N131+N132+N133+N134+N135+N136+N138+N137+N139</f>
        <v>1300000</v>
      </c>
      <c r="O129" s="11">
        <f>+O130+O131+O132+O133+O134+O135+O136+O138</f>
        <v>0</v>
      </c>
    </row>
    <row r="130" spans="1:15" s="39" customFormat="1" ht="19.5" customHeight="1">
      <c r="A130" s="21"/>
      <c r="B130" s="250"/>
      <c r="C130" s="10" t="s">
        <v>117</v>
      </c>
      <c r="D130" s="41">
        <v>425111</v>
      </c>
      <c r="E130" s="85" t="s">
        <v>118</v>
      </c>
      <c r="F130" s="79">
        <f t="shared" si="14"/>
        <v>50000</v>
      </c>
      <c r="G130" s="11"/>
      <c r="H130" s="28"/>
      <c r="I130" s="28">
        <v>50000</v>
      </c>
      <c r="J130" s="12"/>
      <c r="K130" s="79">
        <f t="shared" si="15"/>
        <v>50000</v>
      </c>
      <c r="L130" s="11"/>
      <c r="M130" s="28"/>
      <c r="N130" s="28">
        <v>50000</v>
      </c>
      <c r="O130" s="12"/>
    </row>
    <row r="131" spans="1:15" s="39" customFormat="1" ht="19.5" customHeight="1">
      <c r="A131" s="21"/>
      <c r="B131" s="251"/>
      <c r="C131" s="10" t="s">
        <v>119</v>
      </c>
      <c r="D131" s="41">
        <v>425112</v>
      </c>
      <c r="E131" s="85" t="s">
        <v>120</v>
      </c>
      <c r="F131" s="79">
        <f t="shared" si="14"/>
        <v>150000</v>
      </c>
      <c r="G131" s="28"/>
      <c r="H131" s="28"/>
      <c r="I131" s="28">
        <v>150000</v>
      </c>
      <c r="J131" s="12"/>
      <c r="K131" s="79">
        <f t="shared" si="15"/>
        <v>150000</v>
      </c>
      <c r="L131" s="28"/>
      <c r="M131" s="28"/>
      <c r="N131" s="28">
        <v>150000</v>
      </c>
      <c r="O131" s="12"/>
    </row>
    <row r="132" spans="1:15" s="39" customFormat="1" ht="19.5" customHeight="1">
      <c r="A132" s="21"/>
      <c r="B132" s="251"/>
      <c r="C132" s="10" t="s">
        <v>121</v>
      </c>
      <c r="D132" s="41">
        <v>425113</v>
      </c>
      <c r="E132" s="85" t="s">
        <v>122</v>
      </c>
      <c r="F132" s="79">
        <f t="shared" si="14"/>
        <v>50000</v>
      </c>
      <c r="G132" s="28"/>
      <c r="H132" s="28"/>
      <c r="I132" s="28">
        <v>50000</v>
      </c>
      <c r="J132" s="12"/>
      <c r="K132" s="79">
        <f t="shared" si="15"/>
        <v>50000</v>
      </c>
      <c r="L132" s="28"/>
      <c r="M132" s="28"/>
      <c r="N132" s="28">
        <v>50000</v>
      </c>
      <c r="O132" s="12"/>
    </row>
    <row r="133" spans="1:15" s="39" customFormat="1" ht="19.5" customHeight="1">
      <c r="A133" s="21"/>
      <c r="B133" s="251"/>
      <c r="C133" s="10" t="s">
        <v>123</v>
      </c>
      <c r="D133" s="41">
        <v>425114</v>
      </c>
      <c r="E133" s="85" t="s">
        <v>124</v>
      </c>
      <c r="F133" s="79">
        <f>+I133</f>
        <v>50000</v>
      </c>
      <c r="G133" s="28"/>
      <c r="H133" s="28"/>
      <c r="I133" s="28">
        <v>50000</v>
      </c>
      <c r="J133" s="12"/>
      <c r="K133" s="79">
        <f>+N133</f>
        <v>50000</v>
      </c>
      <c r="L133" s="28"/>
      <c r="M133" s="28"/>
      <c r="N133" s="28">
        <v>50000</v>
      </c>
      <c r="O133" s="12"/>
    </row>
    <row r="134" spans="1:15" s="39" customFormat="1" ht="19.5" customHeight="1">
      <c r="A134" s="21"/>
      <c r="B134" s="251"/>
      <c r="C134" s="10" t="s">
        <v>125</v>
      </c>
      <c r="D134" s="41">
        <v>425115</v>
      </c>
      <c r="E134" s="85" t="s">
        <v>126</v>
      </c>
      <c r="F134" s="79">
        <f>SUM(G134:J134)</f>
        <v>80000</v>
      </c>
      <c r="G134" s="28"/>
      <c r="H134" s="28"/>
      <c r="I134" s="28">
        <v>80000</v>
      </c>
      <c r="J134" s="12"/>
      <c r="K134" s="79">
        <f>SUM(L134:O134)</f>
        <v>80000</v>
      </c>
      <c r="L134" s="28"/>
      <c r="M134" s="28"/>
      <c r="N134" s="28">
        <v>80000</v>
      </c>
      <c r="O134" s="12"/>
    </row>
    <row r="135" spans="1:15" s="39" customFormat="1" ht="19.5" customHeight="1">
      <c r="A135" s="21"/>
      <c r="B135" s="251"/>
      <c r="C135" s="10" t="s">
        <v>127</v>
      </c>
      <c r="D135" s="41">
        <v>425116</v>
      </c>
      <c r="E135" s="85" t="s">
        <v>66</v>
      </c>
      <c r="F135" s="79">
        <f>SUM(G135:J135)</f>
        <v>120000</v>
      </c>
      <c r="G135" s="28"/>
      <c r="H135" s="28"/>
      <c r="I135" s="28">
        <v>120000</v>
      </c>
      <c r="J135" s="12"/>
      <c r="K135" s="79">
        <f>SUM(L135:O135)</f>
        <v>120000</v>
      </c>
      <c r="L135" s="28"/>
      <c r="M135" s="28"/>
      <c r="N135" s="28">
        <v>120000</v>
      </c>
      <c r="O135" s="12"/>
    </row>
    <row r="136" spans="1:15" s="39" customFormat="1" ht="19.5" customHeight="1">
      <c r="A136" s="21"/>
      <c r="B136" s="251"/>
      <c r="C136" s="10" t="s">
        <v>128</v>
      </c>
      <c r="D136" s="41">
        <v>425117</v>
      </c>
      <c r="E136" s="85" t="s">
        <v>129</v>
      </c>
      <c r="F136" s="79">
        <f aca="true" t="shared" si="16" ref="F136:F156">SUM(G136:J136)</f>
        <v>300000</v>
      </c>
      <c r="G136" s="28"/>
      <c r="H136" s="28"/>
      <c r="I136" s="28">
        <v>300000</v>
      </c>
      <c r="J136" s="12"/>
      <c r="K136" s="79">
        <f aca="true" t="shared" si="17" ref="K136:K156">SUM(L136:O136)</f>
        <v>300000</v>
      </c>
      <c r="L136" s="28"/>
      <c r="M136" s="28"/>
      <c r="N136" s="28">
        <v>300000</v>
      </c>
      <c r="O136" s="12"/>
    </row>
    <row r="137" spans="1:15" s="39" customFormat="1" ht="24" customHeight="1">
      <c r="A137" s="21"/>
      <c r="B137" s="251"/>
      <c r="C137" s="10" t="s">
        <v>130</v>
      </c>
      <c r="D137" s="41">
        <v>425118</v>
      </c>
      <c r="E137" s="85" t="s">
        <v>263</v>
      </c>
      <c r="F137" s="79">
        <f t="shared" si="16"/>
        <v>70000</v>
      </c>
      <c r="G137" s="28"/>
      <c r="H137" s="28"/>
      <c r="I137" s="28">
        <v>70000</v>
      </c>
      <c r="J137" s="12"/>
      <c r="K137" s="79">
        <f t="shared" si="17"/>
        <v>70000</v>
      </c>
      <c r="L137" s="28"/>
      <c r="M137" s="28"/>
      <c r="N137" s="28">
        <v>70000</v>
      </c>
      <c r="O137" s="12"/>
    </row>
    <row r="138" spans="1:15" s="39" customFormat="1" ht="26.25" customHeight="1">
      <c r="A138" s="21"/>
      <c r="B138" s="251"/>
      <c r="C138" s="10" t="s">
        <v>132</v>
      </c>
      <c r="D138" s="41">
        <v>425119</v>
      </c>
      <c r="E138" s="85" t="s">
        <v>131</v>
      </c>
      <c r="F138" s="79">
        <f t="shared" si="16"/>
        <v>400000</v>
      </c>
      <c r="G138" s="28"/>
      <c r="H138" s="28"/>
      <c r="I138" s="28">
        <v>400000</v>
      </c>
      <c r="J138" s="12"/>
      <c r="K138" s="79">
        <f t="shared" si="17"/>
        <v>400000</v>
      </c>
      <c r="L138" s="28"/>
      <c r="M138" s="28"/>
      <c r="N138" s="28">
        <v>400000</v>
      </c>
      <c r="O138" s="12"/>
    </row>
    <row r="139" spans="1:15" s="39" customFormat="1" ht="27" customHeight="1">
      <c r="A139" s="21"/>
      <c r="B139" s="65"/>
      <c r="C139" s="10" t="s">
        <v>248</v>
      </c>
      <c r="D139" s="41">
        <v>425191</v>
      </c>
      <c r="E139" s="85" t="s">
        <v>133</v>
      </c>
      <c r="F139" s="79">
        <f t="shared" si="16"/>
        <v>30000</v>
      </c>
      <c r="G139" s="28"/>
      <c r="H139" s="28"/>
      <c r="I139" s="28">
        <v>30000</v>
      </c>
      <c r="J139" s="12"/>
      <c r="K139" s="79">
        <f t="shared" si="17"/>
        <v>30000</v>
      </c>
      <c r="L139" s="28"/>
      <c r="M139" s="28"/>
      <c r="N139" s="28">
        <v>30000</v>
      </c>
      <c r="O139" s="12"/>
    </row>
    <row r="140" spans="1:15" s="39" customFormat="1" ht="24.75" customHeight="1">
      <c r="A140" s="21"/>
      <c r="B140" s="149"/>
      <c r="C140" s="9" t="s">
        <v>134</v>
      </c>
      <c r="D140" s="4">
        <v>425200</v>
      </c>
      <c r="E140" s="17" t="s">
        <v>135</v>
      </c>
      <c r="F140" s="78">
        <f t="shared" si="16"/>
        <v>19133195</v>
      </c>
      <c r="G140" s="11"/>
      <c r="H140" s="11"/>
      <c r="I140" s="11">
        <f>+I141+I144+I151</f>
        <v>18859195</v>
      </c>
      <c r="J140" s="11">
        <f>+J141+J144+J151</f>
        <v>274000</v>
      </c>
      <c r="K140" s="78">
        <f t="shared" si="17"/>
        <v>19133195</v>
      </c>
      <c r="L140" s="11"/>
      <c r="M140" s="11"/>
      <c r="N140" s="11">
        <f>+N141+N144+N151</f>
        <v>18859195</v>
      </c>
      <c r="O140" s="11">
        <f>+O141+O144+O151</f>
        <v>274000</v>
      </c>
    </row>
    <row r="141" spans="1:15" s="39" customFormat="1" ht="24.75" customHeight="1">
      <c r="A141" s="21"/>
      <c r="B141" s="153"/>
      <c r="C141" s="9" t="s">
        <v>136</v>
      </c>
      <c r="D141" s="4">
        <v>425210</v>
      </c>
      <c r="E141" s="17" t="s">
        <v>137</v>
      </c>
      <c r="F141" s="78">
        <f t="shared" si="16"/>
        <v>16327195</v>
      </c>
      <c r="G141" s="11"/>
      <c r="H141" s="11"/>
      <c r="I141" s="11">
        <f>+I142+I143</f>
        <v>16127195</v>
      </c>
      <c r="J141" s="11">
        <f>+J142+J143</f>
        <v>200000</v>
      </c>
      <c r="K141" s="78">
        <f t="shared" si="17"/>
        <v>16327195</v>
      </c>
      <c r="L141" s="11"/>
      <c r="M141" s="11"/>
      <c r="N141" s="11">
        <f>+N142+N143</f>
        <v>16127195</v>
      </c>
      <c r="O141" s="11">
        <f>+O142+O143</f>
        <v>200000</v>
      </c>
    </row>
    <row r="142" spans="1:15" s="39" customFormat="1" ht="19.5" customHeight="1">
      <c r="A142" s="27"/>
      <c r="B142" s="26"/>
      <c r="C142" s="144" t="s">
        <v>138</v>
      </c>
      <c r="D142" s="41">
        <v>42521101</v>
      </c>
      <c r="E142" s="85" t="s">
        <v>265</v>
      </c>
      <c r="F142" s="105">
        <f t="shared" si="16"/>
        <v>16027195</v>
      </c>
      <c r="G142" s="28"/>
      <c r="H142" s="28"/>
      <c r="I142" s="28">
        <f>15000000+827695-500</f>
        <v>15827195</v>
      </c>
      <c r="J142" s="28">
        <v>200000</v>
      </c>
      <c r="K142" s="105">
        <f t="shared" si="17"/>
        <v>16027195</v>
      </c>
      <c r="L142" s="28"/>
      <c r="M142" s="28"/>
      <c r="N142" s="28">
        <f>15000000+827695-500</f>
        <v>15827195</v>
      </c>
      <c r="O142" s="28">
        <v>200000</v>
      </c>
    </row>
    <row r="143" spans="1:15" s="39" customFormat="1" ht="19.5" customHeight="1">
      <c r="A143" s="27"/>
      <c r="B143" s="26"/>
      <c r="C143" s="144" t="s">
        <v>139</v>
      </c>
      <c r="D143" s="41">
        <v>42521102</v>
      </c>
      <c r="E143" s="156" t="s">
        <v>323</v>
      </c>
      <c r="F143" s="105">
        <f t="shared" si="16"/>
        <v>300000</v>
      </c>
      <c r="G143" s="32"/>
      <c r="H143" s="32"/>
      <c r="I143" s="32">
        <f>200000+100000</f>
        <v>300000</v>
      </c>
      <c r="J143" s="28"/>
      <c r="K143" s="105">
        <f t="shared" si="17"/>
        <v>300000</v>
      </c>
      <c r="L143" s="32"/>
      <c r="M143" s="32"/>
      <c r="N143" s="32">
        <f>200000+100000</f>
        <v>300000</v>
      </c>
      <c r="O143" s="28"/>
    </row>
    <row r="144" spans="1:15" s="39" customFormat="1" ht="24.75" customHeight="1">
      <c r="A144" s="21"/>
      <c r="B144" s="152"/>
      <c r="C144" s="9" t="s">
        <v>140</v>
      </c>
      <c r="D144" s="54">
        <v>425220</v>
      </c>
      <c r="E144" s="17" t="s">
        <v>141</v>
      </c>
      <c r="F144" s="78">
        <f t="shared" si="16"/>
        <v>779000</v>
      </c>
      <c r="G144" s="11"/>
      <c r="H144" s="11"/>
      <c r="I144" s="11">
        <f>+I145+I146+I147+I148+I149+I150</f>
        <v>705000</v>
      </c>
      <c r="J144" s="11">
        <f>+J145+J146+J147+J148+J149+J150</f>
        <v>74000</v>
      </c>
      <c r="K144" s="78">
        <f t="shared" si="17"/>
        <v>779000</v>
      </c>
      <c r="L144" s="11"/>
      <c r="M144" s="11"/>
      <c r="N144" s="11">
        <f>+N145+N146+N147+N148+N149+N150</f>
        <v>705000</v>
      </c>
      <c r="O144" s="11">
        <f>+O145+O146+O147+O148+O149+O150</f>
        <v>74000</v>
      </c>
    </row>
    <row r="145" spans="1:15" s="39" customFormat="1" ht="19.5" customHeight="1">
      <c r="A145" s="27"/>
      <c r="B145" s="35"/>
      <c r="C145" s="19" t="s">
        <v>142</v>
      </c>
      <c r="D145" s="41">
        <v>425221</v>
      </c>
      <c r="E145" s="85" t="s">
        <v>143</v>
      </c>
      <c r="F145" s="79">
        <f t="shared" si="16"/>
        <v>200000</v>
      </c>
      <c r="G145" s="11"/>
      <c r="H145" s="11"/>
      <c r="I145" s="28">
        <v>200000</v>
      </c>
      <c r="J145" s="28"/>
      <c r="K145" s="79">
        <f t="shared" si="17"/>
        <v>200000</v>
      </c>
      <c r="L145" s="11"/>
      <c r="M145" s="11"/>
      <c r="N145" s="28">
        <v>200000</v>
      </c>
      <c r="O145" s="28"/>
    </row>
    <row r="146" spans="1:15" s="39" customFormat="1" ht="19.5" customHeight="1">
      <c r="A146" s="27"/>
      <c r="B146" s="26"/>
      <c r="C146" s="19" t="s">
        <v>144</v>
      </c>
      <c r="D146" s="41">
        <v>425222</v>
      </c>
      <c r="E146" s="85" t="s">
        <v>145</v>
      </c>
      <c r="F146" s="79">
        <f t="shared" si="16"/>
        <v>150000</v>
      </c>
      <c r="G146" s="11"/>
      <c r="H146" s="11"/>
      <c r="I146" s="28">
        <v>150000</v>
      </c>
      <c r="J146" s="28"/>
      <c r="K146" s="79">
        <f t="shared" si="17"/>
        <v>150000</v>
      </c>
      <c r="L146" s="11"/>
      <c r="M146" s="11"/>
      <c r="N146" s="28">
        <v>150000</v>
      </c>
      <c r="O146" s="28"/>
    </row>
    <row r="147" spans="1:15" s="39" customFormat="1" ht="19.5" customHeight="1">
      <c r="A147" s="27"/>
      <c r="B147" s="26"/>
      <c r="C147" s="19" t="s">
        <v>146</v>
      </c>
      <c r="D147" s="41">
        <v>425223</v>
      </c>
      <c r="E147" s="85" t="s">
        <v>147</v>
      </c>
      <c r="F147" s="79">
        <f t="shared" si="16"/>
        <v>25000</v>
      </c>
      <c r="G147" s="11"/>
      <c r="H147" s="11"/>
      <c r="I147" s="28">
        <f>15000+10000</f>
        <v>25000</v>
      </c>
      <c r="J147" s="28"/>
      <c r="K147" s="79">
        <f t="shared" si="17"/>
        <v>25000</v>
      </c>
      <c r="L147" s="11"/>
      <c r="M147" s="11"/>
      <c r="N147" s="28">
        <f>15000+10000</f>
        <v>25000</v>
      </c>
      <c r="O147" s="28"/>
    </row>
    <row r="148" spans="1:15" s="39" customFormat="1" ht="19.5" customHeight="1">
      <c r="A148" s="27"/>
      <c r="B148" s="26"/>
      <c r="C148" s="19" t="s">
        <v>148</v>
      </c>
      <c r="D148" s="41">
        <v>425224</v>
      </c>
      <c r="E148" s="85" t="s">
        <v>149</v>
      </c>
      <c r="F148" s="79">
        <f t="shared" si="16"/>
        <v>60000</v>
      </c>
      <c r="G148" s="11"/>
      <c r="H148" s="11"/>
      <c r="I148" s="28"/>
      <c r="J148" s="28">
        <v>60000</v>
      </c>
      <c r="K148" s="79">
        <f t="shared" si="17"/>
        <v>60000</v>
      </c>
      <c r="L148" s="11"/>
      <c r="M148" s="11"/>
      <c r="N148" s="28"/>
      <c r="O148" s="28">
        <v>60000</v>
      </c>
    </row>
    <row r="149" spans="1:15" s="39" customFormat="1" ht="28.5" customHeight="1">
      <c r="A149" s="27"/>
      <c r="B149" s="26"/>
      <c r="C149" s="144" t="s">
        <v>150</v>
      </c>
      <c r="D149" s="41">
        <v>425225</v>
      </c>
      <c r="E149" s="85" t="s">
        <v>151</v>
      </c>
      <c r="F149" s="79">
        <f t="shared" si="16"/>
        <v>130000</v>
      </c>
      <c r="G149" s="11"/>
      <c r="H149" s="11"/>
      <c r="I149" s="28">
        <v>130000</v>
      </c>
      <c r="J149" s="28"/>
      <c r="K149" s="79">
        <f t="shared" si="17"/>
        <v>130000</v>
      </c>
      <c r="L149" s="11"/>
      <c r="M149" s="11"/>
      <c r="N149" s="28">
        <v>130000</v>
      </c>
      <c r="O149" s="28"/>
    </row>
    <row r="150" spans="1:15" s="39" customFormat="1" ht="19.5" customHeight="1">
      <c r="A150" s="27"/>
      <c r="B150" s="26"/>
      <c r="C150" s="144" t="s">
        <v>152</v>
      </c>
      <c r="D150" s="41">
        <v>425227</v>
      </c>
      <c r="E150" s="85" t="s">
        <v>267</v>
      </c>
      <c r="F150" s="79">
        <f t="shared" si="16"/>
        <v>214000</v>
      </c>
      <c r="G150" s="11"/>
      <c r="H150" s="11"/>
      <c r="I150" s="28">
        <f>200000-120000+120000</f>
        <v>200000</v>
      </c>
      <c r="J150" s="28">
        <v>14000</v>
      </c>
      <c r="K150" s="79">
        <f t="shared" si="17"/>
        <v>214000</v>
      </c>
      <c r="L150" s="11"/>
      <c r="M150" s="11"/>
      <c r="N150" s="28">
        <f>200000-120000+120000</f>
        <v>200000</v>
      </c>
      <c r="O150" s="28">
        <v>14000</v>
      </c>
    </row>
    <row r="151" spans="1:15" s="39" customFormat="1" ht="24" customHeight="1">
      <c r="A151" s="21"/>
      <c r="B151" s="153"/>
      <c r="C151" s="9" t="s">
        <v>155</v>
      </c>
      <c r="D151" s="4">
        <v>425250</v>
      </c>
      <c r="E151" s="17" t="s">
        <v>153</v>
      </c>
      <c r="F151" s="78">
        <f t="shared" si="16"/>
        <v>2027000</v>
      </c>
      <c r="G151" s="11"/>
      <c r="H151" s="11"/>
      <c r="I151" s="11">
        <f>+I152+I153+I154+I155+I156</f>
        <v>2027000</v>
      </c>
      <c r="J151" s="11"/>
      <c r="K151" s="78">
        <f t="shared" si="17"/>
        <v>2027000</v>
      </c>
      <c r="L151" s="11"/>
      <c r="M151" s="11"/>
      <c r="N151" s="11">
        <f>+N152+N153+N154+N155+N156</f>
        <v>2027000</v>
      </c>
      <c r="O151" s="11"/>
    </row>
    <row r="152" spans="1:15" s="39" customFormat="1" ht="25.5" customHeight="1">
      <c r="A152" s="27"/>
      <c r="B152" s="35"/>
      <c r="C152" s="144" t="s">
        <v>313</v>
      </c>
      <c r="D152" s="41">
        <v>425251</v>
      </c>
      <c r="E152" s="85" t="s">
        <v>153</v>
      </c>
      <c r="F152" s="79">
        <f t="shared" si="16"/>
        <v>900000</v>
      </c>
      <c r="G152" s="11"/>
      <c r="H152" s="28"/>
      <c r="I152" s="28">
        <f>500000+400000</f>
        <v>900000</v>
      </c>
      <c r="J152" s="11"/>
      <c r="K152" s="79">
        <f t="shared" si="17"/>
        <v>900000</v>
      </c>
      <c r="L152" s="11"/>
      <c r="M152" s="28"/>
      <c r="N152" s="28">
        <f>500000+400000</f>
        <v>900000</v>
      </c>
      <c r="O152" s="11"/>
    </row>
    <row r="153" spans="1:15" s="39" customFormat="1" ht="27" customHeight="1">
      <c r="A153" s="27"/>
      <c r="B153" s="52"/>
      <c r="C153" s="144" t="s">
        <v>314</v>
      </c>
      <c r="D153" s="41">
        <v>42525104</v>
      </c>
      <c r="E153" s="85" t="s">
        <v>154</v>
      </c>
      <c r="F153" s="79">
        <f t="shared" si="16"/>
        <v>1000000</v>
      </c>
      <c r="G153" s="28"/>
      <c r="H153" s="28"/>
      <c r="I153" s="28">
        <f>705000+295000</f>
        <v>1000000</v>
      </c>
      <c r="J153" s="28"/>
      <c r="K153" s="79">
        <f t="shared" si="17"/>
        <v>1000000</v>
      </c>
      <c r="L153" s="28"/>
      <c r="M153" s="28"/>
      <c r="N153" s="28">
        <f>705000+295000</f>
        <v>1000000</v>
      </c>
      <c r="O153" s="28"/>
    </row>
    <row r="154" spans="1:15" s="39" customFormat="1" ht="39" customHeight="1">
      <c r="A154" s="27"/>
      <c r="B154" s="26"/>
      <c r="C154" s="144" t="s">
        <v>315</v>
      </c>
      <c r="D154" s="146">
        <v>425252</v>
      </c>
      <c r="E154" s="17" t="s">
        <v>156</v>
      </c>
      <c r="F154" s="105">
        <f t="shared" si="16"/>
        <v>50000</v>
      </c>
      <c r="G154" s="106"/>
      <c r="H154" s="106"/>
      <c r="I154" s="106">
        <f>50000</f>
        <v>50000</v>
      </c>
      <c r="J154" s="28"/>
      <c r="K154" s="105">
        <f t="shared" si="17"/>
        <v>50000</v>
      </c>
      <c r="L154" s="106"/>
      <c r="M154" s="106"/>
      <c r="N154" s="106">
        <f>50000</f>
        <v>50000</v>
      </c>
      <c r="O154" s="28"/>
    </row>
    <row r="155" spans="1:15" s="39" customFormat="1" ht="33.75" customHeight="1">
      <c r="A155" s="27"/>
      <c r="B155" s="36"/>
      <c r="C155" s="144" t="s">
        <v>316</v>
      </c>
      <c r="D155" s="146">
        <v>425253</v>
      </c>
      <c r="E155" s="164" t="s">
        <v>247</v>
      </c>
      <c r="F155" s="105">
        <f t="shared" si="16"/>
        <v>70000</v>
      </c>
      <c r="G155" s="106"/>
      <c r="H155" s="106"/>
      <c r="I155" s="106">
        <f>50000+20000</f>
        <v>70000</v>
      </c>
      <c r="J155" s="28"/>
      <c r="K155" s="105">
        <f t="shared" si="17"/>
        <v>70000</v>
      </c>
      <c r="L155" s="106"/>
      <c r="M155" s="106"/>
      <c r="N155" s="106">
        <f>50000+20000</f>
        <v>70000</v>
      </c>
      <c r="O155" s="28"/>
    </row>
    <row r="156" spans="1:15" s="39" customFormat="1" ht="24" customHeight="1">
      <c r="A156" s="27"/>
      <c r="B156" s="36"/>
      <c r="C156" s="144" t="s">
        <v>377</v>
      </c>
      <c r="D156" s="146">
        <v>425281</v>
      </c>
      <c r="E156" s="164" t="s">
        <v>375</v>
      </c>
      <c r="F156" s="105">
        <f t="shared" si="16"/>
        <v>7000</v>
      </c>
      <c r="G156" s="106"/>
      <c r="H156" s="106"/>
      <c r="I156" s="106">
        <f>7000</f>
        <v>7000</v>
      </c>
      <c r="J156" s="28"/>
      <c r="K156" s="105">
        <f t="shared" si="17"/>
        <v>7000</v>
      </c>
      <c r="L156" s="106"/>
      <c r="M156" s="106"/>
      <c r="N156" s="106">
        <f>7000</f>
        <v>7000</v>
      </c>
      <c r="O156" s="28"/>
    </row>
    <row r="157" spans="1:15" s="39" customFormat="1" ht="24" customHeight="1">
      <c r="A157" s="13">
        <v>6</v>
      </c>
      <c r="B157" s="4">
        <v>426000</v>
      </c>
      <c r="C157" s="41"/>
      <c r="D157" s="236" t="s">
        <v>157</v>
      </c>
      <c r="E157" s="237"/>
      <c r="F157" s="78">
        <f aca="true" t="shared" si="18" ref="F157:F162">SUM(G157:J157)</f>
        <v>88441887.21</v>
      </c>
      <c r="G157" s="78"/>
      <c r="H157" s="78">
        <f>+H158+H165+H166+H174+H186+H191</f>
        <v>1000000</v>
      </c>
      <c r="I157" s="78">
        <f>+I158+I164+I166+I174+I186+I191+I172</f>
        <v>81912943</v>
      </c>
      <c r="J157" s="78">
        <f>+J158+J165+J166+J174+J186+J191+J172</f>
        <v>5528944.21</v>
      </c>
      <c r="K157" s="78">
        <f aca="true" t="shared" si="19" ref="K157:K162">SUM(L157:O157)</f>
        <v>88441887.21</v>
      </c>
      <c r="L157" s="78"/>
      <c r="M157" s="78">
        <f>+M158+M165+M166+M174+M186+M191</f>
        <v>1000000</v>
      </c>
      <c r="N157" s="78">
        <f>+N158+N164+N166+N174+N186+N191+N172</f>
        <v>81912943</v>
      </c>
      <c r="O157" s="78">
        <f>+O158+O165+O166+O174+O186+O191+O172</f>
        <v>5528944.21</v>
      </c>
    </row>
    <row r="158" spans="1:15" s="39" customFormat="1" ht="24.75" customHeight="1">
      <c r="A158" s="20"/>
      <c r="B158" s="57"/>
      <c r="C158" s="9" t="s">
        <v>158</v>
      </c>
      <c r="D158" s="4">
        <v>426100</v>
      </c>
      <c r="E158" s="17" t="s">
        <v>159</v>
      </c>
      <c r="F158" s="78">
        <f t="shared" si="18"/>
        <v>3690000</v>
      </c>
      <c r="G158" s="11"/>
      <c r="H158" s="11">
        <f>+H159+H160+H161+H162</f>
        <v>1000000</v>
      </c>
      <c r="I158" s="11">
        <f>+I159+I160+I161</f>
        <v>2660000</v>
      </c>
      <c r="J158" s="11">
        <f>+J159+J160+J161+J163</f>
        <v>30000</v>
      </c>
      <c r="K158" s="78">
        <f t="shared" si="19"/>
        <v>3690000</v>
      </c>
      <c r="L158" s="11"/>
      <c r="M158" s="11">
        <f>+M159+M160+M161+M162</f>
        <v>1000000</v>
      </c>
      <c r="N158" s="11">
        <f>+N159+N160+N161</f>
        <v>2660000</v>
      </c>
      <c r="O158" s="11">
        <f>+O159+O160+O161+O163</f>
        <v>30000</v>
      </c>
    </row>
    <row r="159" spans="1:15" s="39" customFormat="1" ht="19.5" customHeight="1">
      <c r="A159" s="27"/>
      <c r="B159" s="35"/>
      <c r="C159" s="19" t="s">
        <v>160</v>
      </c>
      <c r="D159" s="41">
        <v>426111</v>
      </c>
      <c r="E159" s="85" t="s">
        <v>161</v>
      </c>
      <c r="F159" s="79">
        <f t="shared" si="18"/>
        <v>660000</v>
      </c>
      <c r="G159" s="28"/>
      <c r="H159" s="28"/>
      <c r="I159" s="28">
        <f>800000-140000</f>
        <v>660000</v>
      </c>
      <c r="J159" s="28"/>
      <c r="K159" s="79">
        <f t="shared" si="19"/>
        <v>660000</v>
      </c>
      <c r="L159" s="28"/>
      <c r="M159" s="28"/>
      <c r="N159" s="28">
        <f>800000-140000</f>
        <v>660000</v>
      </c>
      <c r="O159" s="28"/>
    </row>
    <row r="160" spans="1:15" s="39" customFormat="1" ht="19.5" customHeight="1">
      <c r="A160" s="27"/>
      <c r="B160" s="26"/>
      <c r="C160" s="19" t="s">
        <v>162</v>
      </c>
      <c r="D160" s="41">
        <v>4261111</v>
      </c>
      <c r="E160" s="85" t="s">
        <v>163</v>
      </c>
      <c r="F160" s="79">
        <f t="shared" si="18"/>
        <v>1500000</v>
      </c>
      <c r="G160" s="28"/>
      <c r="H160" s="28"/>
      <c r="I160" s="28">
        <v>1500000</v>
      </c>
      <c r="J160" s="28"/>
      <c r="K160" s="79">
        <f t="shared" si="19"/>
        <v>1500000</v>
      </c>
      <c r="L160" s="28"/>
      <c r="M160" s="28"/>
      <c r="N160" s="28">
        <v>1500000</v>
      </c>
      <c r="O160" s="28"/>
    </row>
    <row r="161" spans="1:15" s="39" customFormat="1" ht="26.25" customHeight="1">
      <c r="A161" s="27"/>
      <c r="B161" s="26"/>
      <c r="C161" s="19" t="s">
        <v>164</v>
      </c>
      <c r="D161" s="41">
        <v>4261112</v>
      </c>
      <c r="E161" s="85" t="s">
        <v>165</v>
      </c>
      <c r="F161" s="79">
        <f t="shared" si="18"/>
        <v>500000</v>
      </c>
      <c r="G161" s="28"/>
      <c r="H161" s="28"/>
      <c r="I161" s="28">
        <f>300000+200000</f>
        <v>500000</v>
      </c>
      <c r="J161" s="28"/>
      <c r="K161" s="79">
        <f t="shared" si="19"/>
        <v>500000</v>
      </c>
      <c r="L161" s="28"/>
      <c r="M161" s="28"/>
      <c r="N161" s="28">
        <f>300000+200000</f>
        <v>500000</v>
      </c>
      <c r="O161" s="28"/>
    </row>
    <row r="162" spans="1:15" s="39" customFormat="1" ht="19.5" customHeight="1">
      <c r="A162" s="27"/>
      <c r="B162" s="26"/>
      <c r="C162" s="19" t="s">
        <v>166</v>
      </c>
      <c r="D162" s="41">
        <v>426123</v>
      </c>
      <c r="E162" s="145" t="s">
        <v>415</v>
      </c>
      <c r="F162" s="79">
        <f t="shared" si="18"/>
        <v>1000000</v>
      </c>
      <c r="G162" s="28"/>
      <c r="H162" s="28">
        <v>1000000</v>
      </c>
      <c r="I162" s="28"/>
      <c r="J162" s="28"/>
      <c r="K162" s="79">
        <f t="shared" si="19"/>
        <v>1000000</v>
      </c>
      <c r="L162" s="28"/>
      <c r="M162" s="28">
        <v>1000000</v>
      </c>
      <c r="N162" s="28"/>
      <c r="O162" s="28"/>
    </row>
    <row r="163" spans="1:15" s="39" customFormat="1" ht="19.5" customHeight="1">
      <c r="A163" s="27"/>
      <c r="B163" s="26"/>
      <c r="C163" s="19" t="s">
        <v>245</v>
      </c>
      <c r="D163" s="41">
        <v>426131</v>
      </c>
      <c r="E163" s="145" t="s">
        <v>254</v>
      </c>
      <c r="F163" s="79">
        <f>SUM(G163:J163)</f>
        <v>30000</v>
      </c>
      <c r="G163" s="28"/>
      <c r="H163" s="28"/>
      <c r="I163" s="11"/>
      <c r="J163" s="28">
        <v>30000</v>
      </c>
      <c r="K163" s="79">
        <f>SUM(L163:O163)</f>
        <v>30000</v>
      </c>
      <c r="L163" s="28"/>
      <c r="M163" s="28"/>
      <c r="N163" s="11"/>
      <c r="O163" s="28">
        <v>30000</v>
      </c>
    </row>
    <row r="164" spans="1:15" s="39" customFormat="1" ht="24.75" customHeight="1">
      <c r="A164" s="27"/>
      <c r="B164" s="9"/>
      <c r="C164" s="9" t="s">
        <v>167</v>
      </c>
      <c r="D164" s="4">
        <v>426300</v>
      </c>
      <c r="E164" s="17" t="s">
        <v>317</v>
      </c>
      <c r="F164" s="78">
        <f aca="true" t="shared" si="20" ref="F164:F171">SUM(G164:J164)</f>
        <v>364000</v>
      </c>
      <c r="G164" s="11"/>
      <c r="H164" s="11"/>
      <c r="I164" s="11">
        <f>+I165</f>
        <v>200000</v>
      </c>
      <c r="J164" s="11">
        <f>+J165</f>
        <v>164000</v>
      </c>
      <c r="K164" s="78">
        <f aca="true" t="shared" si="21" ref="K164:K171">SUM(L164:O164)</f>
        <v>364000</v>
      </c>
      <c r="L164" s="11"/>
      <c r="M164" s="11"/>
      <c r="N164" s="11">
        <f>+N165</f>
        <v>200000</v>
      </c>
      <c r="O164" s="11">
        <f>+O165</f>
        <v>164000</v>
      </c>
    </row>
    <row r="165" spans="1:15" s="39" customFormat="1" ht="24.75" customHeight="1">
      <c r="A165" s="21"/>
      <c r="B165" s="69"/>
      <c r="C165" s="142" t="s">
        <v>318</v>
      </c>
      <c r="D165" s="146">
        <v>426311</v>
      </c>
      <c r="E165" s="145" t="s">
        <v>168</v>
      </c>
      <c r="F165" s="105">
        <f t="shared" si="20"/>
        <v>364000</v>
      </c>
      <c r="G165" s="106"/>
      <c r="H165" s="106"/>
      <c r="I165" s="106">
        <v>200000</v>
      </c>
      <c r="J165" s="106">
        <v>164000</v>
      </c>
      <c r="K165" s="105">
        <f t="shared" si="21"/>
        <v>364000</v>
      </c>
      <c r="L165" s="106"/>
      <c r="M165" s="106"/>
      <c r="N165" s="106">
        <v>200000</v>
      </c>
      <c r="O165" s="106">
        <v>164000</v>
      </c>
    </row>
    <row r="166" spans="1:15" s="39" customFormat="1" ht="24.75" customHeight="1">
      <c r="A166" s="21"/>
      <c r="B166" s="33"/>
      <c r="C166" s="9" t="s">
        <v>169</v>
      </c>
      <c r="D166" s="4">
        <v>426400</v>
      </c>
      <c r="E166" s="17" t="s">
        <v>170</v>
      </c>
      <c r="F166" s="78">
        <f t="shared" si="20"/>
        <v>13909000</v>
      </c>
      <c r="G166" s="11"/>
      <c r="H166" s="11"/>
      <c r="I166" s="11">
        <f>+I167+I168+I169+I170+I171</f>
        <v>13374000</v>
      </c>
      <c r="J166" s="11">
        <f>+J168</f>
        <v>535000</v>
      </c>
      <c r="K166" s="78">
        <f t="shared" si="21"/>
        <v>13909000</v>
      </c>
      <c r="L166" s="11"/>
      <c r="M166" s="11"/>
      <c r="N166" s="11">
        <f>+N167+N168+N169+N170+N171</f>
        <v>13374000</v>
      </c>
      <c r="O166" s="11">
        <f>+O168</f>
        <v>535000</v>
      </c>
    </row>
    <row r="167" spans="1:15" s="39" customFormat="1" ht="19.5" customHeight="1">
      <c r="A167" s="21"/>
      <c r="B167" s="35"/>
      <c r="C167" s="10" t="s">
        <v>171</v>
      </c>
      <c r="D167" s="41">
        <v>4264111</v>
      </c>
      <c r="E167" s="85" t="s">
        <v>172</v>
      </c>
      <c r="F167" s="79">
        <f t="shared" si="20"/>
        <v>30000</v>
      </c>
      <c r="G167" s="28"/>
      <c r="H167" s="28"/>
      <c r="I167" s="28">
        <v>30000</v>
      </c>
      <c r="J167" s="28"/>
      <c r="K167" s="79">
        <f t="shared" si="21"/>
        <v>30000</v>
      </c>
      <c r="L167" s="28"/>
      <c r="M167" s="28"/>
      <c r="N167" s="28">
        <v>30000</v>
      </c>
      <c r="O167" s="28"/>
    </row>
    <row r="168" spans="1:15" s="39" customFormat="1" ht="19.5" customHeight="1">
      <c r="A168" s="21"/>
      <c r="B168" s="26"/>
      <c r="C168" s="10" t="s">
        <v>173</v>
      </c>
      <c r="D168" s="41">
        <v>426412</v>
      </c>
      <c r="E168" s="85" t="s">
        <v>175</v>
      </c>
      <c r="F168" s="79">
        <f t="shared" si="20"/>
        <v>12516000</v>
      </c>
      <c r="G168" s="28"/>
      <c r="H168" s="28"/>
      <c r="I168" s="28">
        <v>11981000</v>
      </c>
      <c r="J168" s="106">
        <v>535000</v>
      </c>
      <c r="K168" s="79">
        <f t="shared" si="21"/>
        <v>12516000</v>
      </c>
      <c r="L168" s="28"/>
      <c r="M168" s="28"/>
      <c r="N168" s="28">
        <v>11981000</v>
      </c>
      <c r="O168" s="106">
        <v>535000</v>
      </c>
    </row>
    <row r="169" spans="1:15" s="39" customFormat="1" ht="19.5" customHeight="1">
      <c r="A169" s="21"/>
      <c r="B169" s="26"/>
      <c r="C169" s="10" t="s">
        <v>174</v>
      </c>
      <c r="D169" s="41">
        <v>426413</v>
      </c>
      <c r="E169" s="85" t="s">
        <v>177</v>
      </c>
      <c r="F169" s="79">
        <f t="shared" si="20"/>
        <v>60000</v>
      </c>
      <c r="G169" s="28"/>
      <c r="H169" s="28"/>
      <c r="I169" s="28">
        <v>60000</v>
      </c>
      <c r="J169" s="28"/>
      <c r="K169" s="79">
        <f t="shared" si="21"/>
        <v>60000</v>
      </c>
      <c r="L169" s="28"/>
      <c r="M169" s="28"/>
      <c r="N169" s="28">
        <v>60000</v>
      </c>
      <c r="O169" s="28"/>
    </row>
    <row r="170" spans="1:15" s="39" customFormat="1" ht="19.5" customHeight="1">
      <c r="A170" s="21"/>
      <c r="B170" s="26"/>
      <c r="C170" s="10" t="s">
        <v>176</v>
      </c>
      <c r="D170" s="41">
        <v>4264911</v>
      </c>
      <c r="E170" s="85" t="s">
        <v>179</v>
      </c>
      <c r="F170" s="79">
        <f t="shared" si="20"/>
        <v>1203000</v>
      </c>
      <c r="G170" s="28"/>
      <c r="H170" s="28"/>
      <c r="I170" s="28">
        <v>1203000</v>
      </c>
      <c r="J170" s="28"/>
      <c r="K170" s="79">
        <f t="shared" si="21"/>
        <v>1203000</v>
      </c>
      <c r="L170" s="28"/>
      <c r="M170" s="28"/>
      <c r="N170" s="28">
        <v>1203000</v>
      </c>
      <c r="O170" s="28"/>
    </row>
    <row r="171" spans="1:15" s="39" customFormat="1" ht="19.5" customHeight="1">
      <c r="A171" s="21"/>
      <c r="B171" s="36"/>
      <c r="C171" s="10" t="s">
        <v>178</v>
      </c>
      <c r="D171" s="41">
        <v>4264912</v>
      </c>
      <c r="E171" s="85" t="s">
        <v>180</v>
      </c>
      <c r="F171" s="79">
        <f t="shared" si="20"/>
        <v>100000</v>
      </c>
      <c r="G171" s="28"/>
      <c r="H171" s="28"/>
      <c r="I171" s="28">
        <v>100000</v>
      </c>
      <c r="J171" s="28"/>
      <c r="K171" s="79">
        <f t="shared" si="21"/>
        <v>100000</v>
      </c>
      <c r="L171" s="28"/>
      <c r="M171" s="28"/>
      <c r="N171" s="28">
        <v>100000</v>
      </c>
      <c r="O171" s="28"/>
    </row>
    <row r="172" spans="1:15" s="39" customFormat="1" ht="26.25" customHeight="1">
      <c r="A172" s="21"/>
      <c r="B172" s="36"/>
      <c r="C172" s="9" t="s">
        <v>181</v>
      </c>
      <c r="D172" s="4">
        <v>426500</v>
      </c>
      <c r="E172" s="145" t="s">
        <v>327</v>
      </c>
      <c r="F172" s="78">
        <f>+G172+H172+I172+J172</f>
        <v>235000</v>
      </c>
      <c r="G172" s="11"/>
      <c r="H172" s="11"/>
      <c r="I172" s="11">
        <f>+I173</f>
        <v>235000</v>
      </c>
      <c r="J172" s="11">
        <f>+J173</f>
        <v>0</v>
      </c>
      <c r="K172" s="78">
        <f>+L172+M172+N172+O172</f>
        <v>235000</v>
      </c>
      <c r="L172" s="11"/>
      <c r="M172" s="11"/>
      <c r="N172" s="11">
        <f>+N173</f>
        <v>235000</v>
      </c>
      <c r="O172" s="11">
        <f>+O173</f>
        <v>0</v>
      </c>
    </row>
    <row r="173" spans="1:15" s="39" customFormat="1" ht="29.25" customHeight="1">
      <c r="A173" s="21"/>
      <c r="B173" s="36"/>
      <c r="C173" s="9" t="s">
        <v>183</v>
      </c>
      <c r="D173" s="41">
        <v>426591</v>
      </c>
      <c r="E173" s="145" t="s">
        <v>326</v>
      </c>
      <c r="F173" s="79">
        <f>+G173+H173+I173+J173</f>
        <v>235000</v>
      </c>
      <c r="G173" s="28"/>
      <c r="H173" s="28"/>
      <c r="I173" s="28">
        <v>235000</v>
      </c>
      <c r="J173" s="28"/>
      <c r="K173" s="79">
        <f>+L173+M173+N173+O173</f>
        <v>235000</v>
      </c>
      <c r="L173" s="28"/>
      <c r="M173" s="28"/>
      <c r="N173" s="28">
        <v>235000</v>
      </c>
      <c r="O173" s="28"/>
    </row>
    <row r="174" spans="1:15" s="39" customFormat="1" ht="26.25" customHeight="1">
      <c r="A174" s="21"/>
      <c r="B174" s="33"/>
      <c r="C174" s="9" t="s">
        <v>194</v>
      </c>
      <c r="D174" s="4">
        <v>426700</v>
      </c>
      <c r="E174" s="17" t="s">
        <v>182</v>
      </c>
      <c r="F174" s="78">
        <f>SUM(G174:J174)</f>
        <v>67908887.21</v>
      </c>
      <c r="G174" s="11"/>
      <c r="H174" s="11"/>
      <c r="I174" s="11">
        <f>+I175+I179+I180+I183</f>
        <v>63138943</v>
      </c>
      <c r="J174" s="11">
        <f>+J175+J179+J180+J183</f>
        <v>4769944.21</v>
      </c>
      <c r="K174" s="78">
        <f>SUM(L174:O174)</f>
        <v>67908887.21</v>
      </c>
      <c r="L174" s="11"/>
      <c r="M174" s="11"/>
      <c r="N174" s="11">
        <f>+N175+N179+N180+N183</f>
        <v>63138943</v>
      </c>
      <c r="O174" s="11">
        <f>+O175+O179+O180+O183</f>
        <v>4769944.21</v>
      </c>
    </row>
    <row r="175" spans="1:15" s="39" customFormat="1" ht="30" customHeight="1">
      <c r="A175" s="21"/>
      <c r="B175" s="67"/>
      <c r="C175" s="9" t="s">
        <v>195</v>
      </c>
      <c r="D175" s="4">
        <v>426710</v>
      </c>
      <c r="E175" s="85" t="s">
        <v>184</v>
      </c>
      <c r="F175" s="78">
        <f>+G175+H175+I175+J175</f>
        <v>7337253</v>
      </c>
      <c r="G175" s="11"/>
      <c r="H175" s="11"/>
      <c r="I175" s="11">
        <f>+I176+I178+I177</f>
        <v>7337253</v>
      </c>
      <c r="J175" s="11">
        <f>+J176+J178+J177</f>
        <v>0</v>
      </c>
      <c r="K175" s="78">
        <f>+L175+M175+N175+O175</f>
        <v>7337253</v>
      </c>
      <c r="L175" s="11"/>
      <c r="M175" s="11"/>
      <c r="N175" s="11">
        <f>+N176+N178+N177</f>
        <v>7337253</v>
      </c>
      <c r="O175" s="11">
        <f>+O176+O178+O177</f>
        <v>0</v>
      </c>
    </row>
    <row r="176" spans="1:15" s="39" customFormat="1" ht="19.5" customHeight="1">
      <c r="A176" s="27"/>
      <c r="B176" s="35"/>
      <c r="C176" s="144" t="s">
        <v>331</v>
      </c>
      <c r="D176" s="41">
        <v>426711</v>
      </c>
      <c r="E176" s="85" t="s">
        <v>185</v>
      </c>
      <c r="F176" s="79">
        <f>+G176+H176+I176+J176</f>
        <v>6625296</v>
      </c>
      <c r="G176" s="28"/>
      <c r="H176" s="28"/>
      <c r="I176" s="28">
        <f>6325296+300000</f>
        <v>6625296</v>
      </c>
      <c r="J176" s="28">
        <v>0</v>
      </c>
      <c r="K176" s="79">
        <f>+L176+M176+N176+O176</f>
        <v>6625296</v>
      </c>
      <c r="L176" s="28"/>
      <c r="M176" s="28"/>
      <c r="N176" s="28">
        <f>6325296+300000</f>
        <v>6625296</v>
      </c>
      <c r="O176" s="28">
        <v>0</v>
      </c>
    </row>
    <row r="177" spans="1:15" s="39" customFormat="1" ht="19.5" customHeight="1">
      <c r="A177" s="27"/>
      <c r="B177" s="26"/>
      <c r="C177" s="144" t="s">
        <v>332</v>
      </c>
      <c r="D177" s="41">
        <v>42671103</v>
      </c>
      <c r="E177" s="85" t="s">
        <v>186</v>
      </c>
      <c r="F177" s="79">
        <f>+G177+H177+I177+J177</f>
        <v>631957</v>
      </c>
      <c r="G177" s="28"/>
      <c r="H177" s="28"/>
      <c r="I177" s="28">
        <f>481957+150000</f>
        <v>631957</v>
      </c>
      <c r="J177" s="28"/>
      <c r="K177" s="79">
        <f>+L177+M177+N177+O177</f>
        <v>631957</v>
      </c>
      <c r="L177" s="28"/>
      <c r="M177" s="28"/>
      <c r="N177" s="28">
        <f>481957+150000</f>
        <v>631957</v>
      </c>
      <c r="O177" s="28"/>
    </row>
    <row r="178" spans="1:15" s="39" customFormat="1" ht="19.5" customHeight="1">
      <c r="A178" s="27"/>
      <c r="B178" s="26"/>
      <c r="C178" s="144" t="s">
        <v>333</v>
      </c>
      <c r="D178" s="41">
        <v>42671105</v>
      </c>
      <c r="E178" s="85" t="s">
        <v>187</v>
      </c>
      <c r="F178" s="79">
        <f>+G178+H178+I178</f>
        <v>80000</v>
      </c>
      <c r="G178" s="28"/>
      <c r="H178" s="28"/>
      <c r="I178" s="106">
        <v>80000</v>
      </c>
      <c r="J178" s="28"/>
      <c r="K178" s="79">
        <f>+L178+M178+N178</f>
        <v>80000</v>
      </c>
      <c r="L178" s="28"/>
      <c r="M178" s="28"/>
      <c r="N178" s="106">
        <v>80000</v>
      </c>
      <c r="O178" s="28"/>
    </row>
    <row r="179" spans="1:15" s="39" customFormat="1" ht="25.5" customHeight="1">
      <c r="A179" s="21"/>
      <c r="B179" s="69"/>
      <c r="C179" s="9" t="s">
        <v>197</v>
      </c>
      <c r="D179" s="4">
        <v>426721</v>
      </c>
      <c r="E179" s="17" t="s">
        <v>188</v>
      </c>
      <c r="F179" s="78">
        <f>+G179+H179+I179+J179</f>
        <v>22868971.21</v>
      </c>
      <c r="G179" s="28"/>
      <c r="H179" s="28"/>
      <c r="I179" s="11">
        <v>20004747</v>
      </c>
      <c r="J179" s="11">
        <f>1253224.21+1000000+1196000-500000-85000</f>
        <v>2864224.21</v>
      </c>
      <c r="K179" s="78">
        <f>+L179+M179+N179+O179</f>
        <v>22868971.21</v>
      </c>
      <c r="L179" s="28"/>
      <c r="M179" s="28"/>
      <c r="N179" s="11">
        <v>20004747</v>
      </c>
      <c r="O179" s="11">
        <f>1253224.21+1000000+1196000-500000-85000</f>
        <v>2864224.21</v>
      </c>
    </row>
    <row r="180" spans="1:15" s="39" customFormat="1" ht="19.5" customHeight="1">
      <c r="A180" s="21"/>
      <c r="B180" s="57"/>
      <c r="C180" s="9" t="s">
        <v>198</v>
      </c>
      <c r="D180" s="4">
        <v>426750</v>
      </c>
      <c r="E180" s="17" t="s">
        <v>189</v>
      </c>
      <c r="F180" s="78">
        <f>SUM(G180:J180)</f>
        <v>32536663</v>
      </c>
      <c r="G180" s="28"/>
      <c r="H180" s="11"/>
      <c r="I180" s="11">
        <f>SUM(I181:I182)</f>
        <v>30630943</v>
      </c>
      <c r="J180" s="11">
        <f>SUM(J181:J182)</f>
        <v>1905720</v>
      </c>
      <c r="K180" s="78">
        <f>SUM(L180:O180)</f>
        <v>32536663</v>
      </c>
      <c r="L180" s="28"/>
      <c r="M180" s="11"/>
      <c r="N180" s="11">
        <f>SUM(N181:N182)</f>
        <v>30630943</v>
      </c>
      <c r="O180" s="11">
        <f>SUM(O181:O182)</f>
        <v>1905720</v>
      </c>
    </row>
    <row r="181" spans="1:15" s="39" customFormat="1" ht="19.5" customHeight="1">
      <c r="A181" s="21"/>
      <c r="B181" s="35"/>
      <c r="C181" s="142" t="s">
        <v>334</v>
      </c>
      <c r="D181" s="41">
        <v>426751</v>
      </c>
      <c r="E181" s="85" t="s">
        <v>190</v>
      </c>
      <c r="F181" s="79">
        <f>+G181+H181+I181+J181</f>
        <v>19811720</v>
      </c>
      <c r="G181" s="28"/>
      <c r="H181" s="28"/>
      <c r="I181" s="28">
        <f>18056000-150000</f>
        <v>17906000</v>
      </c>
      <c r="J181" s="28">
        <f>1405720+500000</f>
        <v>1905720</v>
      </c>
      <c r="K181" s="79">
        <f>+L181+M181+N181+O181</f>
        <v>19811720</v>
      </c>
      <c r="L181" s="28"/>
      <c r="M181" s="28"/>
      <c r="N181" s="28">
        <f>18056000-150000</f>
        <v>17906000</v>
      </c>
      <c r="O181" s="28">
        <f>1405720+500000</f>
        <v>1905720</v>
      </c>
    </row>
    <row r="182" spans="1:15" s="39" customFormat="1" ht="19.5" customHeight="1">
      <c r="A182" s="21"/>
      <c r="B182" s="23"/>
      <c r="C182" s="142" t="s">
        <v>335</v>
      </c>
      <c r="D182" s="7">
        <v>42675108</v>
      </c>
      <c r="E182" s="85" t="s">
        <v>191</v>
      </c>
      <c r="F182" s="79">
        <f>+G182+H182+I182+J182</f>
        <v>12724943</v>
      </c>
      <c r="G182" s="28"/>
      <c r="H182" s="28"/>
      <c r="I182" s="28">
        <v>12724943</v>
      </c>
      <c r="J182" s="28"/>
      <c r="K182" s="79">
        <f>+L182+M182+N182+O182</f>
        <v>12724943</v>
      </c>
      <c r="L182" s="28"/>
      <c r="M182" s="28"/>
      <c r="N182" s="28">
        <v>12724943</v>
      </c>
      <c r="O182" s="28"/>
    </row>
    <row r="183" spans="1:15" s="39" customFormat="1" ht="19.5" customHeight="1">
      <c r="A183" s="22"/>
      <c r="B183" s="33"/>
      <c r="C183" s="9" t="s">
        <v>336</v>
      </c>
      <c r="D183" s="4">
        <v>426790</v>
      </c>
      <c r="E183" s="17" t="s">
        <v>192</v>
      </c>
      <c r="F183" s="78">
        <f>+G183+H183+I183+J183</f>
        <v>5166000</v>
      </c>
      <c r="G183" s="11"/>
      <c r="H183" s="11"/>
      <c r="I183" s="11">
        <f>I184+I185</f>
        <v>5166000</v>
      </c>
      <c r="J183" s="11">
        <f>J184+J185</f>
        <v>0</v>
      </c>
      <c r="K183" s="78">
        <f>+L183+M183+N183+O183</f>
        <v>5166000</v>
      </c>
      <c r="L183" s="11"/>
      <c r="M183" s="11"/>
      <c r="N183" s="11">
        <f>N184+N185</f>
        <v>5166000</v>
      </c>
      <c r="O183" s="11">
        <f>O184+O185</f>
        <v>0</v>
      </c>
    </row>
    <row r="184" spans="1:15" s="39" customFormat="1" ht="19.5" customHeight="1">
      <c r="A184" s="21"/>
      <c r="B184" s="52"/>
      <c r="C184" s="142" t="s">
        <v>337</v>
      </c>
      <c r="D184" s="41">
        <v>42679128</v>
      </c>
      <c r="E184" s="85" t="s">
        <v>193</v>
      </c>
      <c r="F184" s="105">
        <f>+G184+H184+I184+J184</f>
        <v>4716000</v>
      </c>
      <c r="G184" s="28"/>
      <c r="H184" s="28"/>
      <c r="I184" s="28">
        <v>4716000</v>
      </c>
      <c r="J184" s="28"/>
      <c r="K184" s="105">
        <f>+L184+M184+N184+O184</f>
        <v>4716000</v>
      </c>
      <c r="L184" s="28"/>
      <c r="M184" s="28"/>
      <c r="N184" s="28">
        <v>4716000</v>
      </c>
      <c r="O184" s="28"/>
    </row>
    <row r="185" spans="1:15" s="39" customFormat="1" ht="19.5" customHeight="1">
      <c r="A185" s="21"/>
      <c r="B185" s="52"/>
      <c r="C185" s="142" t="s">
        <v>338</v>
      </c>
      <c r="D185" s="41">
        <v>42679101</v>
      </c>
      <c r="E185" s="145" t="s">
        <v>243</v>
      </c>
      <c r="F185" s="105">
        <f>+G185+H185+I185+J185</f>
        <v>450000</v>
      </c>
      <c r="G185" s="28"/>
      <c r="H185" s="28"/>
      <c r="I185" s="28">
        <v>450000</v>
      </c>
      <c r="J185" s="28"/>
      <c r="K185" s="105">
        <f>+L185+M185+N185+O185</f>
        <v>450000</v>
      </c>
      <c r="L185" s="28"/>
      <c r="M185" s="28"/>
      <c r="N185" s="28">
        <v>450000</v>
      </c>
      <c r="O185" s="28"/>
    </row>
    <row r="186" spans="1:15" s="39" customFormat="1" ht="24.75" customHeight="1">
      <c r="A186" s="21"/>
      <c r="B186" s="67"/>
      <c r="C186" s="9" t="s">
        <v>200</v>
      </c>
      <c r="D186" s="4">
        <v>426800</v>
      </c>
      <c r="E186" s="17" t="s">
        <v>319</v>
      </c>
      <c r="F186" s="78">
        <f>SUM(G186:J186)</f>
        <v>1600000</v>
      </c>
      <c r="G186" s="11"/>
      <c r="H186" s="11"/>
      <c r="I186" s="11">
        <f>+I187+I190+I188+I189</f>
        <v>1570000</v>
      </c>
      <c r="J186" s="11">
        <f>+J190+J188+J187</f>
        <v>30000</v>
      </c>
      <c r="K186" s="78">
        <f>SUM(L186:O186)</f>
        <v>1600000</v>
      </c>
      <c r="L186" s="11"/>
      <c r="M186" s="11"/>
      <c r="N186" s="11">
        <f>+N187+N190+N188+N189</f>
        <v>1570000</v>
      </c>
      <c r="O186" s="11">
        <f>+O190+O188+O187</f>
        <v>30000</v>
      </c>
    </row>
    <row r="187" spans="1:15" s="39" customFormat="1" ht="21" customHeight="1">
      <c r="A187" s="27"/>
      <c r="B187" s="35"/>
      <c r="C187" s="144" t="s">
        <v>202</v>
      </c>
      <c r="D187" s="41">
        <v>426811</v>
      </c>
      <c r="E187" s="85" t="s">
        <v>196</v>
      </c>
      <c r="F187" s="79">
        <f>SUM(G187:J187)</f>
        <v>1500000</v>
      </c>
      <c r="G187" s="28"/>
      <c r="H187" s="28"/>
      <c r="I187" s="28">
        <v>1500000</v>
      </c>
      <c r="J187" s="28"/>
      <c r="K187" s="79">
        <f>SUM(L187:O187)</f>
        <v>1500000</v>
      </c>
      <c r="L187" s="28"/>
      <c r="M187" s="28"/>
      <c r="N187" s="28">
        <v>1500000</v>
      </c>
      <c r="O187" s="28"/>
    </row>
    <row r="188" spans="1:15" s="39" customFormat="1" ht="21" customHeight="1">
      <c r="A188" s="27"/>
      <c r="B188" s="26"/>
      <c r="C188" s="144" t="s">
        <v>203</v>
      </c>
      <c r="D188" s="41">
        <v>426812</v>
      </c>
      <c r="E188" s="145" t="s">
        <v>328</v>
      </c>
      <c r="F188" s="79">
        <f>SUM(G188:J188)</f>
        <v>50000</v>
      </c>
      <c r="G188" s="28"/>
      <c r="H188" s="28"/>
      <c r="I188" s="28">
        <v>50000</v>
      </c>
      <c r="J188" s="28"/>
      <c r="K188" s="79">
        <f>SUM(L188:O188)</f>
        <v>50000</v>
      </c>
      <c r="L188" s="28"/>
      <c r="M188" s="28"/>
      <c r="N188" s="28">
        <v>50000</v>
      </c>
      <c r="O188" s="28"/>
    </row>
    <row r="189" spans="1:15" s="39" customFormat="1" ht="21" customHeight="1">
      <c r="A189" s="27"/>
      <c r="B189" s="26"/>
      <c r="C189" s="144" t="s">
        <v>205</v>
      </c>
      <c r="D189" s="41">
        <v>426819</v>
      </c>
      <c r="E189" s="145" t="s">
        <v>410</v>
      </c>
      <c r="F189" s="79">
        <f>SUM(G189:J189)</f>
        <v>20000</v>
      </c>
      <c r="G189" s="28"/>
      <c r="H189" s="28"/>
      <c r="I189" s="28">
        <v>20000</v>
      </c>
      <c r="J189" s="28"/>
      <c r="K189" s="79">
        <f>SUM(L189:O189)</f>
        <v>20000</v>
      </c>
      <c r="L189" s="28"/>
      <c r="M189" s="28"/>
      <c r="N189" s="28">
        <v>20000</v>
      </c>
      <c r="O189" s="28"/>
    </row>
    <row r="190" spans="1:15" s="39" customFormat="1" ht="21" customHeight="1">
      <c r="A190" s="27"/>
      <c r="B190" s="26"/>
      <c r="C190" s="144" t="s">
        <v>411</v>
      </c>
      <c r="D190" s="41">
        <v>4268292</v>
      </c>
      <c r="E190" s="85" t="s">
        <v>199</v>
      </c>
      <c r="F190" s="79">
        <f aca="true" t="shared" si="22" ref="F190:F202">SUM(G190:J190)</f>
        <v>30000</v>
      </c>
      <c r="G190" s="28"/>
      <c r="H190" s="28"/>
      <c r="I190" s="28"/>
      <c r="J190" s="28">
        <v>30000</v>
      </c>
      <c r="K190" s="79">
        <f aca="true" t="shared" si="23" ref="K190:K202">SUM(L190:O190)</f>
        <v>30000</v>
      </c>
      <c r="L190" s="28"/>
      <c r="M190" s="28"/>
      <c r="N190" s="28"/>
      <c r="O190" s="28">
        <v>30000</v>
      </c>
    </row>
    <row r="191" spans="1:15" s="39" customFormat="1" ht="21" customHeight="1">
      <c r="A191" s="21"/>
      <c r="B191" s="33"/>
      <c r="C191" s="9" t="s">
        <v>339</v>
      </c>
      <c r="D191" s="4">
        <v>426900</v>
      </c>
      <c r="E191" s="17" t="s">
        <v>201</v>
      </c>
      <c r="F191" s="78">
        <f t="shared" si="22"/>
        <v>735000</v>
      </c>
      <c r="G191" s="11"/>
      <c r="H191" s="11"/>
      <c r="I191" s="11">
        <f>SUM(I192:I202)</f>
        <v>735000</v>
      </c>
      <c r="J191" s="11">
        <f>+J194+J199</f>
        <v>0</v>
      </c>
      <c r="K191" s="78">
        <f t="shared" si="23"/>
        <v>735000</v>
      </c>
      <c r="L191" s="11"/>
      <c r="M191" s="11"/>
      <c r="N191" s="11">
        <f>SUM(N192:N202)</f>
        <v>735000</v>
      </c>
      <c r="O191" s="11">
        <f>+O194+O199</f>
        <v>0</v>
      </c>
    </row>
    <row r="192" spans="1:15" s="39" customFormat="1" ht="18.75" customHeight="1">
      <c r="A192" s="21"/>
      <c r="B192" s="68"/>
      <c r="C192" s="142" t="s">
        <v>340</v>
      </c>
      <c r="D192" s="41">
        <v>42691101</v>
      </c>
      <c r="E192" s="85" t="s">
        <v>208</v>
      </c>
      <c r="F192" s="79">
        <f t="shared" si="22"/>
        <v>220000</v>
      </c>
      <c r="G192" s="28"/>
      <c r="H192" s="28"/>
      <c r="I192" s="28">
        <v>220000</v>
      </c>
      <c r="J192" s="28"/>
      <c r="K192" s="79">
        <f t="shared" si="23"/>
        <v>220000</v>
      </c>
      <c r="L192" s="28"/>
      <c r="M192" s="28"/>
      <c r="N192" s="28">
        <v>220000</v>
      </c>
      <c r="O192" s="28"/>
    </row>
    <row r="193" spans="1:15" s="39" customFormat="1" ht="18.75" customHeight="1">
      <c r="A193" s="21"/>
      <c r="B193" s="68"/>
      <c r="C193" s="142" t="s">
        <v>341</v>
      </c>
      <c r="D193" s="41">
        <v>42691102</v>
      </c>
      <c r="E193" s="85" t="s">
        <v>209</v>
      </c>
      <c r="F193" s="79">
        <f t="shared" si="22"/>
        <v>90000</v>
      </c>
      <c r="G193" s="28"/>
      <c r="H193" s="28"/>
      <c r="I193" s="28">
        <v>90000</v>
      </c>
      <c r="J193" s="28"/>
      <c r="K193" s="79">
        <f t="shared" si="23"/>
        <v>90000</v>
      </c>
      <c r="L193" s="28"/>
      <c r="M193" s="28"/>
      <c r="N193" s="28">
        <v>90000</v>
      </c>
      <c r="O193" s="28"/>
    </row>
    <row r="194" spans="1:15" s="39" customFormat="1" ht="18.75" customHeight="1">
      <c r="A194" s="21"/>
      <c r="B194" s="68"/>
      <c r="C194" s="142" t="s">
        <v>342</v>
      </c>
      <c r="D194" s="41">
        <v>42691103</v>
      </c>
      <c r="E194" s="85" t="s">
        <v>210</v>
      </c>
      <c r="F194" s="79">
        <f t="shared" si="22"/>
        <v>50000</v>
      </c>
      <c r="G194" s="28"/>
      <c r="H194" s="28"/>
      <c r="I194" s="28">
        <v>50000</v>
      </c>
      <c r="J194" s="28"/>
      <c r="K194" s="79">
        <f t="shared" si="23"/>
        <v>50000</v>
      </c>
      <c r="L194" s="28"/>
      <c r="M194" s="28"/>
      <c r="N194" s="28">
        <v>50000</v>
      </c>
      <c r="O194" s="28"/>
    </row>
    <row r="195" spans="1:15" s="39" customFormat="1" ht="18.75" customHeight="1">
      <c r="A195" s="21"/>
      <c r="B195" s="68"/>
      <c r="C195" s="142" t="s">
        <v>343</v>
      </c>
      <c r="D195" s="41">
        <v>42691104</v>
      </c>
      <c r="E195" s="85" t="s">
        <v>211</v>
      </c>
      <c r="F195" s="79">
        <f t="shared" si="22"/>
        <v>70000</v>
      </c>
      <c r="G195" s="28"/>
      <c r="H195" s="28"/>
      <c r="I195" s="28">
        <v>70000</v>
      </c>
      <c r="J195" s="28"/>
      <c r="K195" s="79">
        <f t="shared" si="23"/>
        <v>70000</v>
      </c>
      <c r="L195" s="28"/>
      <c r="M195" s="28"/>
      <c r="N195" s="28">
        <v>70000</v>
      </c>
      <c r="O195" s="28"/>
    </row>
    <row r="196" spans="1:15" s="39" customFormat="1" ht="18.75" customHeight="1">
      <c r="A196" s="21"/>
      <c r="B196" s="68"/>
      <c r="C196" s="142" t="s">
        <v>344</v>
      </c>
      <c r="D196" s="41">
        <v>42691105</v>
      </c>
      <c r="E196" s="85" t="s">
        <v>212</v>
      </c>
      <c r="F196" s="79">
        <f t="shared" si="22"/>
        <v>100000</v>
      </c>
      <c r="G196" s="28"/>
      <c r="H196" s="28"/>
      <c r="I196" s="28">
        <v>100000</v>
      </c>
      <c r="J196" s="28"/>
      <c r="K196" s="79">
        <f t="shared" si="23"/>
        <v>100000</v>
      </c>
      <c r="L196" s="28"/>
      <c r="M196" s="28"/>
      <c r="N196" s="28">
        <v>100000</v>
      </c>
      <c r="O196" s="28"/>
    </row>
    <row r="197" spans="1:15" s="39" customFormat="1" ht="18.75" customHeight="1">
      <c r="A197" s="21"/>
      <c r="B197" s="68"/>
      <c r="C197" s="142" t="s">
        <v>345</v>
      </c>
      <c r="D197" s="41">
        <v>42691106</v>
      </c>
      <c r="E197" s="145" t="s">
        <v>213</v>
      </c>
      <c r="F197" s="79">
        <f t="shared" si="22"/>
        <v>40000</v>
      </c>
      <c r="G197" s="28"/>
      <c r="H197" s="28"/>
      <c r="I197" s="28">
        <v>40000</v>
      </c>
      <c r="J197" s="28"/>
      <c r="K197" s="79">
        <f t="shared" si="23"/>
        <v>40000</v>
      </c>
      <c r="L197" s="28"/>
      <c r="M197" s="28"/>
      <c r="N197" s="28">
        <v>40000</v>
      </c>
      <c r="O197" s="28"/>
    </row>
    <row r="198" spans="1:15" s="39" customFormat="1" ht="18.75" customHeight="1">
      <c r="A198" s="21"/>
      <c r="B198" s="68"/>
      <c r="C198" s="142" t="s">
        <v>346</v>
      </c>
      <c r="D198" s="41">
        <v>42691107</v>
      </c>
      <c r="E198" s="145" t="s">
        <v>246</v>
      </c>
      <c r="F198" s="79">
        <f t="shared" si="22"/>
        <v>25000</v>
      </c>
      <c r="G198" s="28"/>
      <c r="H198" s="28"/>
      <c r="I198" s="28">
        <v>25000</v>
      </c>
      <c r="J198" s="28"/>
      <c r="K198" s="79">
        <f t="shared" si="23"/>
        <v>25000</v>
      </c>
      <c r="L198" s="28"/>
      <c r="M198" s="28"/>
      <c r="N198" s="28">
        <v>25000</v>
      </c>
      <c r="O198" s="28"/>
    </row>
    <row r="199" spans="1:15" s="39" customFormat="1" ht="18.75" customHeight="1">
      <c r="A199" s="21"/>
      <c r="B199" s="26"/>
      <c r="C199" s="142" t="s">
        <v>347</v>
      </c>
      <c r="D199" s="41">
        <v>426912</v>
      </c>
      <c r="E199" s="85" t="s">
        <v>204</v>
      </c>
      <c r="F199" s="79">
        <f t="shared" si="22"/>
        <v>50000</v>
      </c>
      <c r="G199" s="28"/>
      <c r="H199" s="28"/>
      <c r="I199" s="28">
        <v>50000</v>
      </c>
      <c r="J199" s="28"/>
      <c r="K199" s="79">
        <f t="shared" si="23"/>
        <v>50000</v>
      </c>
      <c r="L199" s="28"/>
      <c r="M199" s="28"/>
      <c r="N199" s="28">
        <v>50000</v>
      </c>
      <c r="O199" s="28"/>
    </row>
    <row r="200" spans="1:15" s="39" customFormat="1" ht="18.75" customHeight="1">
      <c r="A200" s="21"/>
      <c r="B200" s="26"/>
      <c r="C200" s="142" t="s">
        <v>348</v>
      </c>
      <c r="D200" s="41">
        <v>4269121</v>
      </c>
      <c r="E200" s="85" t="s">
        <v>206</v>
      </c>
      <c r="F200" s="79">
        <f t="shared" si="22"/>
        <v>20000</v>
      </c>
      <c r="G200" s="28"/>
      <c r="H200" s="28"/>
      <c r="I200" s="28">
        <v>20000</v>
      </c>
      <c r="J200" s="28"/>
      <c r="K200" s="79">
        <f t="shared" si="23"/>
        <v>20000</v>
      </c>
      <c r="L200" s="28"/>
      <c r="M200" s="28"/>
      <c r="N200" s="28">
        <v>20000</v>
      </c>
      <c r="O200" s="28"/>
    </row>
    <row r="201" spans="1:15" s="39" customFormat="1" ht="18.75" customHeight="1">
      <c r="A201" s="21"/>
      <c r="B201" s="26"/>
      <c r="C201" s="142" t="s">
        <v>349</v>
      </c>
      <c r="D201" s="41">
        <v>4269122</v>
      </c>
      <c r="E201" s="85" t="s">
        <v>207</v>
      </c>
      <c r="F201" s="79">
        <f t="shared" si="22"/>
        <v>50000</v>
      </c>
      <c r="G201" s="28"/>
      <c r="H201" s="28"/>
      <c r="I201" s="28">
        <v>50000</v>
      </c>
      <c r="J201" s="28"/>
      <c r="K201" s="79">
        <f t="shared" si="23"/>
        <v>50000</v>
      </c>
      <c r="L201" s="28"/>
      <c r="M201" s="28"/>
      <c r="N201" s="28">
        <v>50000</v>
      </c>
      <c r="O201" s="28"/>
    </row>
    <row r="202" spans="1:15" s="39" customFormat="1" ht="18.75" customHeight="1" thickBot="1">
      <c r="A202" s="21"/>
      <c r="B202" s="26"/>
      <c r="C202" s="142" t="s">
        <v>350</v>
      </c>
      <c r="D202" s="42">
        <v>426914</v>
      </c>
      <c r="E202" s="89" t="s">
        <v>264</v>
      </c>
      <c r="F202" s="116">
        <f t="shared" si="22"/>
        <v>20000</v>
      </c>
      <c r="G202" s="118"/>
      <c r="H202" s="118"/>
      <c r="I202" s="118">
        <v>20000</v>
      </c>
      <c r="J202" s="118"/>
      <c r="K202" s="116">
        <f t="shared" si="23"/>
        <v>20000</v>
      </c>
      <c r="L202" s="118"/>
      <c r="M202" s="118"/>
      <c r="N202" s="118">
        <v>20000</v>
      </c>
      <c r="O202" s="118"/>
    </row>
    <row r="203" spans="1:15" s="39" customFormat="1" ht="23.25" customHeight="1" thickBot="1" thickTop="1">
      <c r="A203" s="167" t="s">
        <v>24</v>
      </c>
      <c r="B203" s="133">
        <v>440000</v>
      </c>
      <c r="C203" s="165"/>
      <c r="D203" s="238" t="s">
        <v>214</v>
      </c>
      <c r="E203" s="239"/>
      <c r="F203" s="196">
        <f>+G203+H203+I203+J203</f>
        <v>650000</v>
      </c>
      <c r="G203" s="197"/>
      <c r="H203" s="197"/>
      <c r="I203" s="197"/>
      <c r="J203" s="197">
        <f>+J204</f>
        <v>650000</v>
      </c>
      <c r="K203" s="196">
        <f>+L203+M203+N203+O203</f>
        <v>650000</v>
      </c>
      <c r="L203" s="197"/>
      <c r="M203" s="197"/>
      <c r="N203" s="197"/>
      <c r="O203" s="197">
        <f>+O204</f>
        <v>650000</v>
      </c>
    </row>
    <row r="204" spans="1:15" s="39" customFormat="1" ht="23.25" customHeight="1" thickBot="1" thickTop="1">
      <c r="A204" s="167"/>
      <c r="B204" s="109"/>
      <c r="C204" s="195"/>
      <c r="D204" s="41">
        <v>444211</v>
      </c>
      <c r="E204" s="193" t="s">
        <v>215</v>
      </c>
      <c r="F204" s="79">
        <f>+J204</f>
        <v>650000</v>
      </c>
      <c r="G204" s="28"/>
      <c r="H204" s="28"/>
      <c r="I204" s="28"/>
      <c r="J204" s="28">
        <v>650000</v>
      </c>
      <c r="K204" s="79">
        <f>+O204</f>
        <v>650000</v>
      </c>
      <c r="L204" s="28"/>
      <c r="M204" s="28"/>
      <c r="N204" s="28"/>
      <c r="O204" s="28">
        <v>650000</v>
      </c>
    </row>
    <row r="205" spans="1:15" s="39" customFormat="1" ht="20.25" customHeight="1" thickBot="1" thickTop="1">
      <c r="A205" s="187" t="s">
        <v>221</v>
      </c>
      <c r="B205" s="133">
        <v>465000</v>
      </c>
      <c r="C205" s="165"/>
      <c r="D205" s="240" t="s">
        <v>373</v>
      </c>
      <c r="E205" s="241"/>
      <c r="F205" s="198">
        <f>+G205+H205+I205+J205</f>
        <v>2601976</v>
      </c>
      <c r="G205" s="199"/>
      <c r="H205" s="199"/>
      <c r="I205" s="199">
        <f>+I206</f>
        <v>2601976</v>
      </c>
      <c r="J205" s="199">
        <f>+J206</f>
        <v>0</v>
      </c>
      <c r="K205" s="198">
        <f>+L205+M205+N205+O205</f>
        <v>2601976</v>
      </c>
      <c r="L205" s="199"/>
      <c r="M205" s="199"/>
      <c r="N205" s="199">
        <f>+N206</f>
        <v>2601976</v>
      </c>
      <c r="O205" s="199">
        <f>+O206</f>
        <v>0</v>
      </c>
    </row>
    <row r="206" spans="1:15" s="39" customFormat="1" ht="28.5" customHeight="1" thickBot="1" thickTop="1">
      <c r="A206" s="21"/>
      <c r="B206" s="52"/>
      <c r="C206" s="169" t="s">
        <v>393</v>
      </c>
      <c r="D206" s="94">
        <v>465112</v>
      </c>
      <c r="E206" s="178" t="s">
        <v>374</v>
      </c>
      <c r="F206" s="121">
        <f>+J206+I206</f>
        <v>2601976</v>
      </c>
      <c r="G206" s="122"/>
      <c r="H206" s="122"/>
      <c r="I206" s="122">
        <f>2391976+210000</f>
        <v>2601976</v>
      </c>
      <c r="J206" s="122"/>
      <c r="K206" s="121">
        <f>+O206+N206</f>
        <v>2601976</v>
      </c>
      <c r="L206" s="122"/>
      <c r="M206" s="122"/>
      <c r="N206" s="122">
        <f>2391976+210000</f>
        <v>2601976</v>
      </c>
      <c r="O206" s="122"/>
    </row>
    <row r="207" spans="1:15" s="39" customFormat="1" ht="28.5" customHeight="1" thickBot="1" thickTop="1">
      <c r="A207" s="167" t="s">
        <v>229</v>
      </c>
      <c r="B207" s="133">
        <v>481900</v>
      </c>
      <c r="C207" s="137"/>
      <c r="D207" s="242" t="s">
        <v>390</v>
      </c>
      <c r="E207" s="243"/>
      <c r="F207" s="166">
        <f>+I207+J207</f>
        <v>380000</v>
      </c>
      <c r="G207" s="135"/>
      <c r="H207" s="135"/>
      <c r="I207" s="135">
        <f>+I208</f>
        <v>285000</v>
      </c>
      <c r="J207" s="135">
        <f>+J208</f>
        <v>95000</v>
      </c>
      <c r="K207" s="166">
        <f>+N207+O207</f>
        <v>380000</v>
      </c>
      <c r="L207" s="135"/>
      <c r="M207" s="135"/>
      <c r="N207" s="135">
        <f>+N208</f>
        <v>285000</v>
      </c>
      <c r="O207" s="135">
        <f>+O208</f>
        <v>95000</v>
      </c>
    </row>
    <row r="208" spans="1:15" s="39" customFormat="1" ht="25.5" customHeight="1" thickBot="1" thickTop="1">
      <c r="A208" s="21"/>
      <c r="B208" s="52"/>
      <c r="C208" s="169" t="s">
        <v>351</v>
      </c>
      <c r="D208" s="185">
        <v>481991</v>
      </c>
      <c r="E208" s="186" t="s">
        <v>391</v>
      </c>
      <c r="F208" s="121">
        <f>+I208+J208</f>
        <v>380000</v>
      </c>
      <c r="G208" s="122"/>
      <c r="H208" s="122"/>
      <c r="I208" s="122">
        <v>285000</v>
      </c>
      <c r="J208" s="122">
        <v>95000</v>
      </c>
      <c r="K208" s="121">
        <f>+N208+O208</f>
        <v>380000</v>
      </c>
      <c r="L208" s="122"/>
      <c r="M208" s="122"/>
      <c r="N208" s="122">
        <v>285000</v>
      </c>
      <c r="O208" s="122">
        <v>95000</v>
      </c>
    </row>
    <row r="209" spans="1:15" s="39" customFormat="1" ht="21" customHeight="1" thickBot="1" thickTop="1">
      <c r="A209" s="128" t="s">
        <v>320</v>
      </c>
      <c r="B209" s="133">
        <v>482000</v>
      </c>
      <c r="C209" s="165"/>
      <c r="D209" s="242" t="s">
        <v>216</v>
      </c>
      <c r="E209" s="243"/>
      <c r="F209" s="135">
        <f>SUM(G209:J209)</f>
        <v>952863</v>
      </c>
      <c r="G209" s="135"/>
      <c r="H209" s="135"/>
      <c r="I209" s="135">
        <f>+I210+I212+I214</f>
        <v>132500</v>
      </c>
      <c r="J209" s="135">
        <f>+J210+J212+J213+J211</f>
        <v>820363</v>
      </c>
      <c r="K209" s="135">
        <f>SUM(L209:O209)</f>
        <v>952863</v>
      </c>
      <c r="L209" s="135"/>
      <c r="M209" s="135"/>
      <c r="N209" s="135">
        <f>+N210+N212+N214</f>
        <v>132500</v>
      </c>
      <c r="O209" s="135">
        <f>+O210+O212+O213+O211</f>
        <v>820363</v>
      </c>
    </row>
    <row r="210" spans="1:15" s="39" customFormat="1" ht="19.5" customHeight="1" thickTop="1">
      <c r="A210" s="13"/>
      <c r="B210" s="51"/>
      <c r="C210" s="168" t="s">
        <v>352</v>
      </c>
      <c r="D210" s="43">
        <v>482131</v>
      </c>
      <c r="E210" s="90" t="s">
        <v>217</v>
      </c>
      <c r="F210" s="119">
        <f>+G210+H210+I210+J210</f>
        <v>132000</v>
      </c>
      <c r="G210" s="120"/>
      <c r="H210" s="120"/>
      <c r="I210" s="120">
        <v>132000</v>
      </c>
      <c r="J210" s="120"/>
      <c r="K210" s="119">
        <f>+L210+M210+N210+O210</f>
        <v>132000</v>
      </c>
      <c r="L210" s="120"/>
      <c r="M210" s="120"/>
      <c r="N210" s="120">
        <v>132000</v>
      </c>
      <c r="O210" s="120"/>
    </row>
    <row r="211" spans="1:15" s="39" customFormat="1" ht="19.5" customHeight="1">
      <c r="A211" s="13"/>
      <c r="B211" s="51"/>
      <c r="C211" s="168" t="s">
        <v>353</v>
      </c>
      <c r="D211" s="43">
        <v>4821912</v>
      </c>
      <c r="E211" s="151" t="s">
        <v>322</v>
      </c>
      <c r="F211" s="119">
        <f>+G211+H211+I211+J211</f>
        <v>715363</v>
      </c>
      <c r="G211" s="120"/>
      <c r="H211" s="120"/>
      <c r="I211" s="120"/>
      <c r="J211" s="120">
        <v>715363</v>
      </c>
      <c r="K211" s="119">
        <f>+L211+M211+N211+O211</f>
        <v>715363</v>
      </c>
      <c r="L211" s="120"/>
      <c r="M211" s="120"/>
      <c r="N211" s="120"/>
      <c r="O211" s="120">
        <v>715363</v>
      </c>
    </row>
    <row r="212" spans="1:15" s="39" customFormat="1" ht="19.5" customHeight="1">
      <c r="A212" s="8"/>
      <c r="B212" s="9"/>
      <c r="C212" s="168" t="s">
        <v>354</v>
      </c>
      <c r="D212" s="41">
        <v>482211</v>
      </c>
      <c r="E212" s="85" t="s">
        <v>218</v>
      </c>
      <c r="F212" s="79">
        <f>+G212+H212+I212+J212</f>
        <v>80000</v>
      </c>
      <c r="G212" s="28"/>
      <c r="H212" s="28"/>
      <c r="I212" s="28"/>
      <c r="J212" s="28">
        <v>80000</v>
      </c>
      <c r="K212" s="79">
        <f>+L212+M212+N212+O212</f>
        <v>80000</v>
      </c>
      <c r="L212" s="28"/>
      <c r="M212" s="28"/>
      <c r="N212" s="28"/>
      <c r="O212" s="28">
        <v>80000</v>
      </c>
    </row>
    <row r="213" spans="1:15" s="39" customFormat="1" ht="19.5" customHeight="1">
      <c r="A213" s="8"/>
      <c r="B213" s="9"/>
      <c r="C213" s="168" t="s">
        <v>355</v>
      </c>
      <c r="D213" s="41">
        <v>482251</v>
      </c>
      <c r="E213" s="85" t="s">
        <v>219</v>
      </c>
      <c r="F213" s="79">
        <f>+G213+H213+I213+J213</f>
        <v>25000</v>
      </c>
      <c r="G213" s="28"/>
      <c r="H213" s="28"/>
      <c r="I213" s="28"/>
      <c r="J213" s="28">
        <v>25000</v>
      </c>
      <c r="K213" s="79">
        <f>+L213+M213+N213+O213</f>
        <v>25000</v>
      </c>
      <c r="L213" s="28"/>
      <c r="M213" s="28"/>
      <c r="N213" s="28"/>
      <c r="O213" s="28">
        <v>25000</v>
      </c>
    </row>
    <row r="214" spans="1:15" s="39" customFormat="1" ht="19.5" customHeight="1">
      <c r="A214" s="49"/>
      <c r="B214" s="52"/>
      <c r="C214" s="168" t="s">
        <v>426</v>
      </c>
      <c r="D214" s="41">
        <v>482241</v>
      </c>
      <c r="E214" s="173" t="s">
        <v>425</v>
      </c>
      <c r="F214" s="79"/>
      <c r="G214" s="28"/>
      <c r="H214" s="28"/>
      <c r="I214" s="28">
        <v>500</v>
      </c>
      <c r="J214" s="28"/>
      <c r="K214" s="79"/>
      <c r="L214" s="28"/>
      <c r="M214" s="28"/>
      <c r="N214" s="28">
        <v>500</v>
      </c>
      <c r="O214" s="28"/>
    </row>
    <row r="215" spans="1:15" s="39" customFormat="1" ht="19.5" customHeight="1" thickBot="1">
      <c r="A215" s="49"/>
      <c r="B215" s="52"/>
      <c r="C215" s="168" t="s">
        <v>427</v>
      </c>
      <c r="D215" s="195">
        <v>482311</v>
      </c>
      <c r="E215" s="219" t="s">
        <v>424</v>
      </c>
      <c r="F215" s="121"/>
      <c r="G215" s="122"/>
      <c r="H215" s="122"/>
      <c r="I215" s="122"/>
      <c r="J215" s="122"/>
      <c r="K215" s="121"/>
      <c r="L215" s="122"/>
      <c r="M215" s="122"/>
      <c r="N215" s="122"/>
      <c r="O215" s="122"/>
    </row>
    <row r="216" spans="1:15" s="39" customFormat="1" ht="25.5" customHeight="1" thickBot="1" thickTop="1">
      <c r="A216" s="128" t="s">
        <v>394</v>
      </c>
      <c r="B216" s="133">
        <v>483000</v>
      </c>
      <c r="C216" s="165"/>
      <c r="D216" s="230" t="s">
        <v>220</v>
      </c>
      <c r="E216" s="244"/>
      <c r="F216" s="166">
        <f>+G216+H216+I216+J216</f>
        <v>441643</v>
      </c>
      <c r="G216" s="135"/>
      <c r="H216" s="135"/>
      <c r="I216" s="135"/>
      <c r="J216" s="135">
        <f>+J217+J218+J219</f>
        <v>441643</v>
      </c>
      <c r="K216" s="166">
        <f>+L216+M216+N216+O216</f>
        <v>441643</v>
      </c>
      <c r="L216" s="135"/>
      <c r="M216" s="135"/>
      <c r="N216" s="135"/>
      <c r="O216" s="135">
        <f>+O217+O218+O219</f>
        <v>441643</v>
      </c>
    </row>
    <row r="217" spans="1:15" s="39" customFormat="1" ht="24" customHeight="1" thickTop="1">
      <c r="A217" s="49"/>
      <c r="B217" s="52"/>
      <c r="C217" s="218" t="s">
        <v>395</v>
      </c>
      <c r="D217" s="162">
        <v>483111</v>
      </c>
      <c r="E217" s="227" t="s">
        <v>230</v>
      </c>
      <c r="F217" s="228">
        <f>+G217+H217+I217+J217</f>
        <v>307584</v>
      </c>
      <c r="G217" s="229"/>
      <c r="H217" s="229"/>
      <c r="I217" s="229"/>
      <c r="J217" s="229">
        <v>307584</v>
      </c>
      <c r="K217" s="228">
        <f>+L217+M217+N217+O217</f>
        <v>307584</v>
      </c>
      <c r="L217" s="229"/>
      <c r="M217" s="229"/>
      <c r="N217" s="229"/>
      <c r="O217" s="229">
        <v>307584</v>
      </c>
    </row>
    <row r="218" spans="1:15" s="39" customFormat="1" ht="24" customHeight="1">
      <c r="A218" s="49"/>
      <c r="B218" s="52"/>
      <c r="C218" s="169" t="s">
        <v>420</v>
      </c>
      <c r="D218" s="41">
        <v>4831112</v>
      </c>
      <c r="E218" s="173" t="s">
        <v>421</v>
      </c>
      <c r="F218" s="79">
        <f>+G218+H218+I218+J218</f>
        <v>6000</v>
      </c>
      <c r="G218" s="28"/>
      <c r="H218" s="28"/>
      <c r="I218" s="28"/>
      <c r="J218" s="28">
        <v>6000</v>
      </c>
      <c r="K218" s="79">
        <f>+L218+M218+N218+O218</f>
        <v>6000</v>
      </c>
      <c r="L218" s="28"/>
      <c r="M218" s="28"/>
      <c r="N218" s="28"/>
      <c r="O218" s="28">
        <v>6000</v>
      </c>
    </row>
    <row r="219" spans="1:15" s="39" customFormat="1" ht="24" customHeight="1" thickBot="1">
      <c r="A219" s="49"/>
      <c r="B219" s="52"/>
      <c r="C219" s="169" t="s">
        <v>422</v>
      </c>
      <c r="D219" s="94">
        <v>4831113</v>
      </c>
      <c r="E219" s="178" t="s">
        <v>423</v>
      </c>
      <c r="F219" s="119">
        <f>+G219+H219+I219+J219</f>
        <v>128059</v>
      </c>
      <c r="G219" s="120"/>
      <c r="H219" s="120"/>
      <c r="I219" s="120"/>
      <c r="J219" s="120">
        <v>128059</v>
      </c>
      <c r="K219" s="119">
        <f>+L219+M219+N219+O219</f>
        <v>128059</v>
      </c>
      <c r="L219" s="120"/>
      <c r="M219" s="120"/>
      <c r="N219" s="120"/>
      <c r="O219" s="120">
        <v>128059</v>
      </c>
    </row>
    <row r="220" spans="1:15" s="39" customFormat="1" ht="20.25" customHeight="1" thickBot="1" thickTop="1">
      <c r="A220" s="174" t="s">
        <v>396</v>
      </c>
      <c r="B220" s="175" t="s">
        <v>222</v>
      </c>
      <c r="C220" s="176" t="s">
        <v>397</v>
      </c>
      <c r="D220" s="230" t="s">
        <v>223</v>
      </c>
      <c r="E220" s="231"/>
      <c r="F220" s="198">
        <f aca="true" t="shared" si="24" ref="F220:F227">+G220+H220+I220+J220</f>
        <v>14556526</v>
      </c>
      <c r="G220" s="198"/>
      <c r="H220" s="198">
        <f>+H221+H223+H225+H226+H224+H229+H227+H222+H228</f>
        <v>14000000</v>
      </c>
      <c r="I220" s="198"/>
      <c r="J220" s="198">
        <f>J223+J225+J221+J224+J226+J229+J227+J228+J230+J231</f>
        <v>556526</v>
      </c>
      <c r="K220" s="198">
        <f aca="true" t="shared" si="25" ref="K220:K227">+L220+M220+N220+O220</f>
        <v>14581526</v>
      </c>
      <c r="L220" s="198"/>
      <c r="M220" s="198">
        <f>+M221+M223+M225+M226+M224+M229+M227+M222+M228</f>
        <v>14000000</v>
      </c>
      <c r="N220" s="198"/>
      <c r="O220" s="198">
        <f>O223+O225+O221+O224+O226+O229+O227+O228+O230+O231</f>
        <v>581526</v>
      </c>
    </row>
    <row r="221" spans="1:15" s="39" customFormat="1" ht="18" customHeight="1" thickTop="1">
      <c r="A221" s="13"/>
      <c r="B221" s="51"/>
      <c r="C221" s="170" t="s">
        <v>398</v>
      </c>
      <c r="D221" s="43">
        <v>511322</v>
      </c>
      <c r="E221" s="113" t="s">
        <v>260</v>
      </c>
      <c r="F221" s="119">
        <f t="shared" si="24"/>
        <v>4000000</v>
      </c>
      <c r="G221" s="119"/>
      <c r="H221" s="119">
        <v>4000000</v>
      </c>
      <c r="I221" s="119"/>
      <c r="J221" s="119"/>
      <c r="K221" s="119">
        <f t="shared" si="25"/>
        <v>4000000</v>
      </c>
      <c r="L221" s="119"/>
      <c r="M221" s="119">
        <v>4000000</v>
      </c>
      <c r="N221" s="119"/>
      <c r="O221" s="119"/>
    </row>
    <row r="222" spans="1:15" s="39" customFormat="1" ht="18" customHeight="1">
      <c r="A222" s="13"/>
      <c r="B222" s="51"/>
      <c r="C222" s="170" t="s">
        <v>399</v>
      </c>
      <c r="D222" s="43">
        <v>512111</v>
      </c>
      <c r="E222" s="113" t="s">
        <v>416</v>
      </c>
      <c r="F222" s="119">
        <f t="shared" si="24"/>
        <v>5500000</v>
      </c>
      <c r="G222" s="119"/>
      <c r="H222" s="119">
        <v>5500000</v>
      </c>
      <c r="I222" s="119"/>
      <c r="J222" s="119"/>
      <c r="K222" s="119">
        <f t="shared" si="25"/>
        <v>5500000</v>
      </c>
      <c r="L222" s="119"/>
      <c r="M222" s="119">
        <v>5500000</v>
      </c>
      <c r="N222" s="119"/>
      <c r="O222" s="119"/>
    </row>
    <row r="223" spans="1:15" s="39" customFormat="1" ht="18" customHeight="1">
      <c r="A223" s="8"/>
      <c r="B223" s="9"/>
      <c r="C223" s="170" t="s">
        <v>400</v>
      </c>
      <c r="D223" s="41">
        <v>512211</v>
      </c>
      <c r="E223" s="171" t="s">
        <v>143</v>
      </c>
      <c r="F223" s="79">
        <f t="shared" si="24"/>
        <v>1000000</v>
      </c>
      <c r="G223" s="79"/>
      <c r="H223" s="79">
        <v>1000000</v>
      </c>
      <c r="I223" s="79"/>
      <c r="J223" s="79"/>
      <c r="K223" s="79">
        <f t="shared" si="25"/>
        <v>1000000</v>
      </c>
      <c r="L223" s="79"/>
      <c r="M223" s="79">
        <v>1000000</v>
      </c>
      <c r="N223" s="79"/>
      <c r="O223" s="79"/>
    </row>
    <row r="224" spans="1:15" s="39" customFormat="1" ht="18" customHeight="1">
      <c r="A224" s="8"/>
      <c r="B224" s="9"/>
      <c r="C224" s="170" t="s">
        <v>401</v>
      </c>
      <c r="D224" s="41">
        <v>512212</v>
      </c>
      <c r="E224" s="172" t="s">
        <v>266</v>
      </c>
      <c r="F224" s="79">
        <f t="shared" si="24"/>
        <v>300000</v>
      </c>
      <c r="G224" s="79"/>
      <c r="H224" s="79">
        <v>300000</v>
      </c>
      <c r="I224" s="79"/>
      <c r="J224" s="79"/>
      <c r="K224" s="79">
        <f t="shared" si="25"/>
        <v>300000</v>
      </c>
      <c r="L224" s="79"/>
      <c r="M224" s="79">
        <v>300000</v>
      </c>
      <c r="N224" s="79"/>
      <c r="O224" s="79"/>
    </row>
    <row r="225" spans="1:15" s="39" customFormat="1" ht="18" customHeight="1">
      <c r="A225" s="8"/>
      <c r="B225" s="9"/>
      <c r="C225" s="170" t="s">
        <v>402</v>
      </c>
      <c r="D225" s="41">
        <v>512221</v>
      </c>
      <c r="E225" s="85" t="s">
        <v>145</v>
      </c>
      <c r="F225" s="79">
        <f t="shared" si="24"/>
        <v>553000</v>
      </c>
      <c r="G225" s="79"/>
      <c r="H225" s="79">
        <v>550000</v>
      </c>
      <c r="I225" s="79"/>
      <c r="J225" s="79">
        <v>3000</v>
      </c>
      <c r="K225" s="79">
        <f t="shared" si="25"/>
        <v>553000</v>
      </c>
      <c r="L225" s="79"/>
      <c r="M225" s="79">
        <v>550000</v>
      </c>
      <c r="N225" s="79"/>
      <c r="O225" s="79">
        <v>3000</v>
      </c>
    </row>
    <row r="226" spans="1:15" s="39" customFormat="1" ht="18" customHeight="1">
      <c r="A226" s="8"/>
      <c r="B226" s="9"/>
      <c r="C226" s="170" t="s">
        <v>403</v>
      </c>
      <c r="D226" s="41">
        <v>512232</v>
      </c>
      <c r="E226" s="145" t="s">
        <v>356</v>
      </c>
      <c r="F226" s="79">
        <f t="shared" si="24"/>
        <v>150000</v>
      </c>
      <c r="G226" s="79"/>
      <c r="H226" s="79">
        <v>150000</v>
      </c>
      <c r="I226" s="79"/>
      <c r="J226" s="79"/>
      <c r="K226" s="79">
        <f t="shared" si="25"/>
        <v>150000</v>
      </c>
      <c r="L226" s="79"/>
      <c r="M226" s="79">
        <v>150000</v>
      </c>
      <c r="N226" s="79"/>
      <c r="O226" s="79"/>
    </row>
    <row r="227" spans="1:15" s="39" customFormat="1" ht="18" customHeight="1">
      <c r="A227" s="8"/>
      <c r="B227" s="9"/>
      <c r="C227" s="170" t="s">
        <v>404</v>
      </c>
      <c r="D227" s="38">
        <v>512511</v>
      </c>
      <c r="E227" s="193" t="s">
        <v>224</v>
      </c>
      <c r="F227" s="79">
        <f t="shared" si="24"/>
        <v>2351600</v>
      </c>
      <c r="G227" s="79"/>
      <c r="H227" s="79">
        <v>2000000</v>
      </c>
      <c r="I227" s="79"/>
      <c r="J227" s="79">
        <v>351600</v>
      </c>
      <c r="K227" s="79">
        <f t="shared" si="25"/>
        <v>2351600</v>
      </c>
      <c r="L227" s="79"/>
      <c r="M227" s="79">
        <v>2000000</v>
      </c>
      <c r="N227" s="79"/>
      <c r="O227" s="79">
        <v>351600</v>
      </c>
    </row>
    <row r="228" spans="1:15" s="39" customFormat="1" ht="18" customHeight="1">
      <c r="A228" s="8"/>
      <c r="B228" s="9"/>
      <c r="C228" s="170" t="s">
        <v>405</v>
      </c>
      <c r="D228" s="146">
        <v>512531</v>
      </c>
      <c r="E228" s="156" t="s">
        <v>242</v>
      </c>
      <c r="F228" s="79">
        <f>+G228+H228+I228+J228</f>
        <v>500000</v>
      </c>
      <c r="G228" s="79"/>
      <c r="H228" s="79">
        <v>500000</v>
      </c>
      <c r="I228" s="79"/>
      <c r="J228" s="79"/>
      <c r="K228" s="79">
        <f>+L228+M228+N228+O228</f>
        <v>500000</v>
      </c>
      <c r="L228" s="79"/>
      <c r="M228" s="79">
        <v>500000</v>
      </c>
      <c r="N228" s="79"/>
      <c r="O228" s="79"/>
    </row>
    <row r="229" spans="1:15" s="39" customFormat="1" ht="18" customHeight="1">
      <c r="A229" s="8"/>
      <c r="B229" s="9"/>
      <c r="C229" s="214" t="s">
        <v>406</v>
      </c>
      <c r="D229" s="223">
        <v>512251</v>
      </c>
      <c r="E229" s="212" t="s">
        <v>430</v>
      </c>
      <c r="F229" s="203">
        <f>+G229+H229+I229+J229</f>
        <v>7646</v>
      </c>
      <c r="G229" s="203"/>
      <c r="H229" s="203">
        <v>0</v>
      </c>
      <c r="I229" s="203"/>
      <c r="J229" s="203">
        <v>7646</v>
      </c>
      <c r="K229" s="203">
        <f>+L229+M229+N229+O229</f>
        <v>32646</v>
      </c>
      <c r="L229" s="203"/>
      <c r="M229" s="203">
        <v>0</v>
      </c>
      <c r="N229" s="203"/>
      <c r="O229" s="203">
        <f>7646+25000</f>
        <v>32646</v>
      </c>
    </row>
    <row r="230" spans="1:15" s="39" customFormat="1" ht="24" customHeight="1">
      <c r="A230" s="8"/>
      <c r="B230" s="9"/>
      <c r="C230" s="170" t="s">
        <v>429</v>
      </c>
      <c r="D230" s="146">
        <v>5122311</v>
      </c>
      <c r="E230" s="156" t="s">
        <v>428</v>
      </c>
      <c r="F230" s="79">
        <f>+G230+H230+I230+J230</f>
        <v>44280</v>
      </c>
      <c r="G230" s="79"/>
      <c r="H230" s="79"/>
      <c r="I230" s="79"/>
      <c r="J230" s="79">
        <v>44280</v>
      </c>
      <c r="K230" s="79">
        <f>+L230+M230+N230+O230</f>
        <v>44280</v>
      </c>
      <c r="L230" s="79"/>
      <c r="M230" s="79"/>
      <c r="N230" s="79"/>
      <c r="O230" s="79">
        <v>44280</v>
      </c>
    </row>
    <row r="231" spans="1:15" s="39" customFormat="1" ht="24" customHeight="1">
      <c r="A231" s="8"/>
      <c r="B231" s="9"/>
      <c r="C231" s="170" t="s">
        <v>432</v>
      </c>
      <c r="D231" s="146">
        <v>515111</v>
      </c>
      <c r="E231" s="156" t="s">
        <v>431</v>
      </c>
      <c r="F231" s="79">
        <f>+G231+H231+I231+J231</f>
        <v>150000</v>
      </c>
      <c r="G231" s="79"/>
      <c r="H231" s="79"/>
      <c r="I231" s="79"/>
      <c r="J231" s="79">
        <v>150000</v>
      </c>
      <c r="K231" s="79">
        <f>+L231+M231+N231+O231</f>
        <v>150000</v>
      </c>
      <c r="L231" s="79"/>
      <c r="M231" s="79"/>
      <c r="N231" s="79"/>
      <c r="O231" s="79">
        <v>150000</v>
      </c>
    </row>
    <row r="232" spans="1:15" s="63" customFormat="1" ht="24.75" customHeight="1">
      <c r="A232" s="232" t="s">
        <v>407</v>
      </c>
      <c r="B232" s="233"/>
      <c r="C232" s="233"/>
      <c r="D232" s="233"/>
      <c r="E232" s="234"/>
      <c r="F232" s="78">
        <f>+F220+F216+F203+F209+F59+F32+F205+F207</f>
        <v>635401210.3299999</v>
      </c>
      <c r="G232" s="78">
        <f>+G220+G216+G203+G209+G59+G32</f>
        <v>1444</v>
      </c>
      <c r="H232" s="78">
        <f>+H220+H216+H203+H209+H59+H32</f>
        <v>20516933.15</v>
      </c>
      <c r="I232" s="78">
        <f>+I220+I216+I203+I209+I59+I32+I205+I207</f>
        <v>587295483.97</v>
      </c>
      <c r="J232" s="78">
        <f>+J220+J216+J203+J209+J59+J32+J205+J207</f>
        <v>27587349.21</v>
      </c>
      <c r="K232" s="78">
        <f>+K220+K216+K203+K209+K59+K32+K205+K207</f>
        <v>634131210.3299999</v>
      </c>
      <c r="L232" s="78">
        <f>+L220+L216+L203+L209+L59+L32</f>
        <v>1444</v>
      </c>
      <c r="M232" s="78">
        <f>+M220+M216+M203+M209+M59+M32</f>
        <v>20516933.15</v>
      </c>
      <c r="N232" s="78">
        <f>+N220+N216+N203+N209+N59+N32+N205+N207</f>
        <v>586025483.97</v>
      </c>
      <c r="O232" s="78">
        <f>+O220+O216+O203+O209+O59+O32+O205+O207</f>
        <v>27587349.21</v>
      </c>
    </row>
    <row r="233" spans="1:15" s="63" customFormat="1" ht="15.75" customHeight="1">
      <c r="A233" s="188"/>
      <c r="B233" s="188"/>
      <c r="C233" s="188"/>
      <c r="D233" s="188"/>
      <c r="E233" s="188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</row>
    <row r="234" spans="1:15" s="63" customFormat="1" ht="24.75" customHeight="1" hidden="1">
      <c r="A234" s="188"/>
      <c r="B234" s="188"/>
      <c r="C234" s="188"/>
      <c r="D234" s="188"/>
      <c r="E234" s="188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</row>
    <row r="235" spans="1:15" s="63" customFormat="1" ht="12.75" customHeight="1">
      <c r="A235" s="188"/>
      <c r="B235" s="188"/>
      <c r="C235" s="194"/>
      <c r="D235" s="188"/>
      <c r="E235" s="188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</row>
    <row r="236" spans="1:15" s="63" customFormat="1" ht="12">
      <c r="A236" s="40"/>
      <c r="B236" s="40"/>
      <c r="C236" s="40"/>
      <c r="D236" s="40"/>
      <c r="E236" s="29"/>
      <c r="F236" s="155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1:5" s="63" customFormat="1" ht="15" customHeight="1">
      <c r="A237" s="75" t="s">
        <v>261</v>
      </c>
      <c r="B237" s="75"/>
      <c r="C237" s="73"/>
      <c r="D237" s="73"/>
      <c r="E237" s="74"/>
    </row>
    <row r="238" spans="1:15" s="63" customFormat="1" ht="1.5" customHeight="1">
      <c r="A238" s="75"/>
      <c r="B238" s="75"/>
      <c r="C238" s="75"/>
      <c r="D238" s="72"/>
      <c r="E238" s="76"/>
      <c r="F238" s="39"/>
      <c r="G238" s="39"/>
      <c r="H238" s="39"/>
      <c r="J238" s="39"/>
      <c r="K238" s="39"/>
      <c r="L238" s="39"/>
      <c r="M238" s="39"/>
      <c r="N238" s="39"/>
      <c r="O238" s="39"/>
    </row>
    <row r="239" spans="1:11" s="63" customFormat="1" ht="35.25" customHeight="1">
      <c r="A239" s="189" t="s">
        <v>262</v>
      </c>
      <c r="B239" s="75"/>
      <c r="C239" s="75"/>
      <c r="D239" s="75"/>
      <c r="E239" s="77"/>
      <c r="F239" s="40"/>
      <c r="G239" s="39"/>
      <c r="H239" s="40"/>
      <c r="K239" s="157"/>
    </row>
    <row r="240" spans="1:8" s="63" customFormat="1" ht="15.75">
      <c r="A240" s="75" t="s">
        <v>366</v>
      </c>
      <c r="B240" s="75"/>
      <c r="C240" s="75"/>
      <c r="D240" s="75"/>
      <c r="E240" s="77"/>
      <c r="F240" s="40"/>
      <c r="G240" s="40"/>
      <c r="H240" s="40"/>
    </row>
    <row r="241" spans="1:8" s="63" customFormat="1" ht="15.75">
      <c r="A241" s="75" t="s">
        <v>367</v>
      </c>
      <c r="B241" s="75"/>
      <c r="C241" s="75"/>
      <c r="D241" s="75"/>
      <c r="E241" s="77"/>
      <c r="F241" s="40"/>
      <c r="G241" s="40"/>
      <c r="H241" s="40"/>
    </row>
    <row r="242" spans="1:8" s="63" customFormat="1" ht="24.75" customHeight="1">
      <c r="A242" s="75"/>
      <c r="B242" s="75"/>
      <c r="C242" s="75"/>
      <c r="D242" s="75"/>
      <c r="E242" s="77"/>
      <c r="F242" s="40"/>
      <c r="G242" s="40"/>
      <c r="H242" s="40"/>
    </row>
    <row r="243" spans="1:10" s="63" customFormat="1" ht="15.75">
      <c r="A243" s="75" t="s">
        <v>368</v>
      </c>
      <c r="B243" s="75"/>
      <c r="C243" s="75"/>
      <c r="D243" s="75"/>
      <c r="E243" s="77"/>
      <c r="F243" s="40"/>
      <c r="G243" s="40"/>
      <c r="H243" s="40"/>
      <c r="I243" s="235" t="s">
        <v>434</v>
      </c>
      <c r="J243" s="235"/>
    </row>
    <row r="244" spans="1:9" s="63" customFormat="1" ht="15" customHeight="1">
      <c r="A244" s="75"/>
      <c r="B244" s="75"/>
      <c r="C244" s="75"/>
      <c r="D244" s="75"/>
      <c r="E244" s="77"/>
      <c r="F244" s="40"/>
      <c r="G244" s="40"/>
      <c r="H244" s="40"/>
      <c r="I244" s="39"/>
    </row>
    <row r="245" spans="1:9" s="63" customFormat="1" ht="15" customHeight="1">
      <c r="A245" s="75" t="s">
        <v>262</v>
      </c>
      <c r="B245" s="75"/>
      <c r="C245" s="75"/>
      <c r="D245" s="75"/>
      <c r="E245" s="77"/>
      <c r="F245" s="40"/>
      <c r="G245" s="40"/>
      <c r="H245" s="40"/>
      <c r="I245" s="75" t="s">
        <v>262</v>
      </c>
    </row>
    <row r="246" spans="1:9" s="63" customFormat="1" ht="15" customHeight="1">
      <c r="A246" s="75" t="s">
        <v>369</v>
      </c>
      <c r="B246" s="75"/>
      <c r="C246" s="75"/>
      <c r="D246" s="75"/>
      <c r="E246" s="77"/>
      <c r="F246" s="40"/>
      <c r="G246" s="40"/>
      <c r="H246" s="40"/>
      <c r="I246" s="177" t="s">
        <v>376</v>
      </c>
    </row>
    <row r="247" spans="1:8" s="63" customFormat="1" ht="15.75">
      <c r="A247" s="75"/>
      <c r="B247" s="75"/>
      <c r="C247" s="75"/>
      <c r="D247" s="75"/>
      <c r="E247" s="77"/>
      <c r="F247" s="40"/>
      <c r="G247" s="40"/>
      <c r="H247" s="40"/>
    </row>
    <row r="248" spans="1:8" s="63" customFormat="1" ht="15.75">
      <c r="A248" s="75"/>
      <c r="B248" s="75"/>
      <c r="C248" s="75"/>
      <c r="D248" s="75"/>
      <c r="E248" s="77"/>
      <c r="F248" s="40"/>
      <c r="G248" s="40"/>
      <c r="H248" s="40"/>
    </row>
  </sheetData>
  <sheetProtection/>
  <mergeCells count="71">
    <mergeCell ref="A6:A8"/>
    <mergeCell ref="B6:B8"/>
    <mergeCell ref="C6:C8"/>
    <mergeCell ref="D6:D8"/>
    <mergeCell ref="E6:E8"/>
    <mergeCell ref="F6:J6"/>
    <mergeCell ref="K6:O6"/>
    <mergeCell ref="F7:F8"/>
    <mergeCell ref="G7:I7"/>
    <mergeCell ref="J7:J8"/>
    <mergeCell ref="K7:K8"/>
    <mergeCell ref="L7:N7"/>
    <mergeCell ref="O7:O8"/>
    <mergeCell ref="D10:E10"/>
    <mergeCell ref="D11:E11"/>
    <mergeCell ref="D13:E13"/>
    <mergeCell ref="A14:A15"/>
    <mergeCell ref="B14:B15"/>
    <mergeCell ref="C14:C15"/>
    <mergeCell ref="D16:E16"/>
    <mergeCell ref="D18:E18"/>
    <mergeCell ref="D20:E20"/>
    <mergeCell ref="D21:E21"/>
    <mergeCell ref="D22:E22"/>
    <mergeCell ref="A23:E23"/>
    <mergeCell ref="A27:A29"/>
    <mergeCell ref="B27:B29"/>
    <mergeCell ref="C27:C29"/>
    <mergeCell ref="D27:D29"/>
    <mergeCell ref="E27:E29"/>
    <mergeCell ref="F27:J27"/>
    <mergeCell ref="K27:O27"/>
    <mergeCell ref="F28:F29"/>
    <mergeCell ref="G28:I28"/>
    <mergeCell ref="J28:J29"/>
    <mergeCell ref="K28:K29"/>
    <mergeCell ref="L28:N28"/>
    <mergeCell ref="O28:O29"/>
    <mergeCell ref="A31:E31"/>
    <mergeCell ref="D32:E32"/>
    <mergeCell ref="D33:E33"/>
    <mergeCell ref="D35:E35"/>
    <mergeCell ref="D39:E39"/>
    <mergeCell ref="D42:E42"/>
    <mergeCell ref="A44:A45"/>
    <mergeCell ref="D52:E52"/>
    <mergeCell ref="A53:A54"/>
    <mergeCell ref="B53:B54"/>
    <mergeCell ref="D56:E56"/>
    <mergeCell ref="D59:E59"/>
    <mergeCell ref="D60:E60"/>
    <mergeCell ref="B62:B63"/>
    <mergeCell ref="B65:B68"/>
    <mergeCell ref="B70:B72"/>
    <mergeCell ref="B75:B80"/>
    <mergeCell ref="B83:B86"/>
    <mergeCell ref="D89:E89"/>
    <mergeCell ref="D97:E97"/>
    <mergeCell ref="B103:B105"/>
    <mergeCell ref="D120:E120"/>
    <mergeCell ref="D128:E128"/>
    <mergeCell ref="B130:B138"/>
    <mergeCell ref="D220:E220"/>
    <mergeCell ref="A232:E232"/>
    <mergeCell ref="I243:J243"/>
    <mergeCell ref="D157:E157"/>
    <mergeCell ref="D203:E203"/>
    <mergeCell ref="D205:E205"/>
    <mergeCell ref="D207:E207"/>
    <mergeCell ref="D209:E209"/>
    <mergeCell ref="D216:E216"/>
  </mergeCells>
  <dataValidations count="3">
    <dataValidation type="whole" allowBlank="1" showErrorMessage="1" errorTitle="Upozorenje" error="Niste uneli korektnu vrednost!&#10;Ponovite unos." sqref="H20:H22 M64 M74 M82 M141 M106 M102 M100 M120:M121 N139 M89 M59:M60 M52 M69 M174 M157:M158 M20:M22 H64 H74 H82 H141 H106 H102 H100 H120:H121 I139 H89 H59:H60 H52 H69 H174 H157:H158">
      <formula1>0</formula1>
      <formula2>999999999</formula2>
    </dataValidation>
    <dataValidation type="whole" allowBlank="1" showErrorMessage="1" errorTitle="Upozorenje" error="Niste uneli korektnu vrednost!&#10;Ponovite unos." sqref="M180 H180">
      <formula1>0</formula1>
      <formula2>999999999999</formula2>
    </dataValidation>
    <dataValidation allowBlank="1" showErrorMessage="1" errorTitle="Upozorenje" error="Niste uneli korektnu vrednost!&#10;Ponovite unos." sqref="M16 M87 L33:L41 M98 M33 L27:L30 L7:L17 G19:G22 H16 G10:G17 G27:G29 G31 L44:L231 G6:G8 L19:L22 H87 G33:G41 H98 H33 G44:G231"/>
  </dataValidations>
  <printOptions/>
  <pageMargins left="0.16" right="0.25" top="0.5" bottom="0.5" header="0.33" footer="0.3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2015-01-17T13:06:19Z</cp:lastPrinted>
  <dcterms:created xsi:type="dcterms:W3CDTF">2006-09-16T00:00:00Z</dcterms:created>
  <dcterms:modified xsi:type="dcterms:W3CDTF">2019-06-04T05:58:57Z</dcterms:modified>
  <cp:category/>
  <cp:version/>
  <cp:contentType/>
  <cp:contentStatus/>
</cp:coreProperties>
</file>