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II rebalans  (3)" sheetId="1" r:id="rId1"/>
  </sheets>
  <definedNames>
    <definedName name="Excel_BuiltIn_Print_Titles" localSheetId="0">('III rebalans  (3)'!$A:$E,'III rebalans  (3)'!$A$28:$IC$31)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1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ПРИХОДИ ОД ПРОШЛЕ ГОДИНЕ И ДОДАТЕ РЕФУНДАЦИЈЕ
</t>
        </r>
      </text>
    </comment>
    <comment ref="Q1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ПРИХОДИ ОД ПРОШЛЕ ГОДИНЕ И ДОДАТЕ РЕФУНДАЦИЈЕ
</t>
        </r>
      </text>
    </comment>
    <comment ref="K45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  <comment ref="Q45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</commentList>
</comments>
</file>

<file path=xl/sharedStrings.xml><?xml version="1.0" encoding="utf-8"?>
<sst xmlns="http://schemas.openxmlformats.org/spreadsheetml/2006/main" count="539" uniqueCount="466">
  <si>
    <t>ДОМ ЗДРАВЉА "ЧАЧАК" ЧАЧАК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</si>
  <si>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</si>
  <si>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</si>
  <si>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</si>
  <si>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</si>
  <si>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</si>
  <si>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</si>
  <si>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>Износ планираних прихода и примања</t>
  </si>
  <si>
    <t xml:space="preserve">Укупно                       </t>
  </si>
  <si>
    <t>Приходи из буџета</t>
  </si>
  <si>
    <t>Сопствена средства</t>
  </si>
  <si>
    <t>Из донација и помоћи</t>
  </si>
  <si>
    <t>Републике</t>
  </si>
  <si>
    <t>Општине</t>
  </si>
  <si>
    <t>ООСО</t>
  </si>
  <si>
    <t>I</t>
  </si>
  <si>
    <t>740000</t>
  </si>
  <si>
    <t xml:space="preserve">ПРИХОДИ  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</si>
  <si>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</si>
  <si>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</si>
  <si>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</si>
  <si>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Приходи од услуга</t>
  </si>
  <si>
    <t>742121**</t>
  </si>
  <si>
    <t>Приходи од закупа непокретности</t>
  </si>
  <si>
    <t>КАПИТАЛНИ ДОБРОВОЉНИ ТРАНСФЕРИ ОД ФИЗИЧКИХ И ПРАВНИХ ЛИЦА</t>
  </si>
  <si>
    <t>Капитални добровољни трансфери у корист организација обавезног социјалног осигурања</t>
  </si>
  <si>
    <t xml:space="preserve">МЕШОВИТИ И НЕОДРЕЂЕНИ ПРИХОДИ </t>
  </si>
  <si>
    <t>Мешовити и неодређени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</si>
  <si>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</si>
  <si>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</si>
  <si>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</si>
  <si>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III</t>
  </si>
  <si>
    <t>ТРАНСФЕРИ ИЗМЕЂУ БУЏЕТСКИХ КОРИСНИКА НА ИСТОМ НИВОУ</t>
  </si>
  <si>
    <t>IV</t>
  </si>
  <si>
    <t>ПРИХОДИ ИЗ БУЏЕТА</t>
  </si>
  <si>
    <t>УКУПНИ ПРИХОДИ И ПРИМАЊА  I+II+III+IV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</si>
  <si>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</si>
  <si>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</si>
  <si>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</si>
  <si>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</si>
  <si>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</si>
  <si>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(1+2+3+4+5+6)</t>
  </si>
  <si>
    <t>I.1.</t>
  </si>
  <si>
    <t xml:space="preserve">ПЛАТЕ, ДОДАЦИ И НАКНАДЕ ЗАПОСЛЕНИХ (ЗАРАДЕ)  </t>
  </si>
  <si>
    <t>I.1.1</t>
  </si>
  <si>
    <t>ПЛАТЕ, ДОДАЦИ И НАКНАДЕ ЗАПОСЛЕНИХ</t>
  </si>
  <si>
    <t>I.2.</t>
  </si>
  <si>
    <t xml:space="preserve">СОЦИЈАЛНИ ДОПРИНОСИ НА ТЕРЕТ ПОСЛОДАВЦА </t>
  </si>
  <si>
    <t>I.2.1</t>
  </si>
  <si>
    <t xml:space="preserve">Допринос за пензијско и инвалидско осигурање </t>
  </si>
  <si>
    <t>I.2.2</t>
  </si>
  <si>
    <t>Допринос за здравствено осигурање</t>
  </si>
  <si>
    <t>I.2.3</t>
  </si>
  <si>
    <t>Допринос за незапосленост</t>
  </si>
  <si>
    <t>I.3.</t>
  </si>
  <si>
    <t>НАКНАДЕ У НАТУРИ</t>
  </si>
  <si>
    <t>I.3.1</t>
  </si>
  <si>
    <t xml:space="preserve">Превоз на посао и са посла </t>
  </si>
  <si>
    <t>I.3.2</t>
  </si>
  <si>
    <t>Поклони за децу запослених</t>
  </si>
  <si>
    <t>1.4.</t>
  </si>
  <si>
    <t xml:space="preserve">СОЦИЈАЛНА ДАВАЊА ЗАПОСЛЕНИМА </t>
  </si>
  <si>
    <t>1.4.1</t>
  </si>
  <si>
    <t>Исплата накнада за време одсуствовања с посла на терет фондова</t>
  </si>
  <si>
    <t>I.4.2</t>
  </si>
  <si>
    <t>Отпремнине и помоћи</t>
  </si>
  <si>
    <t>I.4.3</t>
  </si>
  <si>
    <t>Помоћ у медицинском лечењу запосленог или чланова уже породице и друге помоћи запосленом</t>
  </si>
  <si>
    <t>I.5.</t>
  </si>
  <si>
    <t>НАКНАДЕ ТРОШКОВА ЗА ЗАПОСЛЕНЕ</t>
  </si>
  <si>
    <t>I.6.</t>
  </si>
  <si>
    <t xml:space="preserve">НАГРАДЕ ЗАПОСЛЕНИМА И ОСТАЛИ ПОСЕБНИ РАСХОДИ </t>
  </si>
  <si>
    <t>КОРИШЋЕЊЕ УСЛУГА И РОБА (1+2+3+4+5+6)</t>
  </si>
  <si>
    <t xml:space="preserve">СТАЛНИ ТРОШКОВИ </t>
  </si>
  <si>
    <t>II.1.1.</t>
  </si>
  <si>
    <t>II.1.2</t>
  </si>
  <si>
    <t>II.1.3</t>
  </si>
  <si>
    <t>II.1.4</t>
  </si>
  <si>
    <t>II.1.5</t>
  </si>
  <si>
    <t>II.1.6</t>
  </si>
  <si>
    <t xml:space="preserve">ТРОШКОВИ ПУТОВАЊА </t>
  </si>
  <si>
    <t>II.2.1</t>
  </si>
  <si>
    <t>Трошкови путовања у оквиру редовног рада</t>
  </si>
  <si>
    <t xml:space="preserve">УСЛУГЕ ПО УГОВОРУ </t>
  </si>
  <si>
    <t>II.3.1</t>
  </si>
  <si>
    <t>Административне услуге</t>
  </si>
  <si>
    <t>II.3.2</t>
  </si>
  <si>
    <t>Компјутерске услуге</t>
  </si>
  <si>
    <t>II.3.3</t>
  </si>
  <si>
    <t xml:space="preserve">Услуге образовања и усавршавања   </t>
  </si>
  <si>
    <t>II.3.4</t>
  </si>
  <si>
    <t>Услуге информисања</t>
  </si>
  <si>
    <t>II.3.5</t>
  </si>
  <si>
    <t xml:space="preserve">Стручне услуге  </t>
  </si>
  <si>
    <t>II.3.6</t>
  </si>
  <si>
    <t>Услуге за домаћинство и угоститељство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</si>
  <si>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</si>
  <si>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</si>
  <si>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</si>
  <si>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</si>
  <si>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</si>
  <si>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</si>
  <si>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</si>
  <si>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II.4.2.</t>
  </si>
  <si>
    <t>Услуге очувања животне средине, науке и геодетске услуге</t>
  </si>
  <si>
    <t>II.4.3.</t>
  </si>
  <si>
    <t>Остале специјализоване услуге</t>
  </si>
  <si>
    <t xml:space="preserve">ТЕКУЋЕ ПОПРАВКЕ И ОДРЖАВАЊЕ </t>
  </si>
  <si>
    <t>II.5.1</t>
  </si>
  <si>
    <t>Текуће поправке и одржавање објеката</t>
  </si>
  <si>
    <t>II.5.2</t>
  </si>
  <si>
    <t>МАТЕРИЈАЛ</t>
  </si>
  <si>
    <t>II.6.1</t>
  </si>
  <si>
    <t>II.6.2</t>
  </si>
  <si>
    <t>Материјали за образовање и усавршавање запослених</t>
  </si>
  <si>
    <t>II.6.3</t>
  </si>
  <si>
    <t>II.6.4</t>
  </si>
  <si>
    <t>Материјали за очување животне средине</t>
  </si>
  <si>
    <t>II.6.5</t>
  </si>
  <si>
    <t>II.6.6</t>
  </si>
  <si>
    <t>II.6.7</t>
  </si>
  <si>
    <t>Материјали за посебне намене</t>
  </si>
  <si>
    <t>ОТПЛАТА КАМАТА И ТЕКУЋИ ТРОШКОВИ ЗАДУЖИВАЊА</t>
  </si>
  <si>
    <t>Казне за кашњење</t>
  </si>
  <si>
    <t>ОСТАЛЕ ДОТАЦИЈЕ И ТРАНСФЕРИ</t>
  </si>
  <si>
    <t>Остале текуће дотације по закону - инвалиди</t>
  </si>
  <si>
    <t>V</t>
  </si>
  <si>
    <t>ДОТАЦИЈЕ ОСТАЛИМ НЕПРОФИТНИМ ИНСТИТУЦИЈАМА</t>
  </si>
  <si>
    <t xml:space="preserve">Дотације осталим непрофитним институцијама </t>
  </si>
  <si>
    <t>VI</t>
  </si>
  <si>
    <t>ПОРЕЗИ, ОБАВЕЗНЕ ТАКСЕ, КАЗНЕ И ПЕНАЛИ</t>
  </si>
  <si>
    <t>VII</t>
  </si>
  <si>
    <t>НОВЧАНЕ КАЗНЕ И ПЕНАЛИ ПО РЕШЕЊУ СУДОВА</t>
  </si>
  <si>
    <t>Новчане казне и пенали по решењу судова</t>
  </si>
  <si>
    <t>VIII</t>
  </si>
  <si>
    <t>510000</t>
  </si>
  <si>
    <t>ОСНОВНА СРЕДСТВА</t>
  </si>
  <si>
    <t>Капитално одржавање</t>
  </si>
  <si>
    <t>Административна опрема</t>
  </si>
  <si>
    <t>Опрема за заштиту животне средине</t>
  </si>
  <si>
    <t>Медицинска опрема</t>
  </si>
  <si>
    <t>Компјутерски софтвер</t>
  </si>
  <si>
    <t>УКУПНИ РАСХОДИ И ИЗДАЦИ I+II+III+IV+V+VI+VII+VIII</t>
  </si>
  <si>
    <t>САСТАВИЛА</t>
  </si>
  <si>
    <t>_______________________________</t>
  </si>
  <si>
    <t>Маријана Вранеш</t>
  </si>
  <si>
    <t>шеф рачуноводства</t>
  </si>
  <si>
    <t>НАЧЕЛНИК</t>
  </si>
  <si>
    <t>Весна Малетић</t>
  </si>
  <si>
    <t>др Александар Пајовић</t>
  </si>
  <si>
    <t>741100</t>
  </si>
  <si>
    <t>74516*</t>
  </si>
  <si>
    <t>781111</t>
  </si>
  <si>
    <t xml:space="preserve"> </t>
  </si>
  <si>
    <t>1.4.1.1</t>
  </si>
  <si>
    <t>Породиљско боловање</t>
  </si>
  <si>
    <t>1.4.1.2</t>
  </si>
  <si>
    <t xml:space="preserve">Боловање преко 30 дана </t>
  </si>
  <si>
    <t>1.4.1.3</t>
  </si>
  <si>
    <t>Инвалидност другог степена</t>
  </si>
  <si>
    <t>I.4.2.1</t>
  </si>
  <si>
    <t>Отпремнине приликом одласка у пензију</t>
  </si>
  <si>
    <t>I.4.2.2</t>
  </si>
  <si>
    <t>Помоћ у случају смрти запосленог или члана уже породице</t>
  </si>
  <si>
    <t>I.4.3.1</t>
  </si>
  <si>
    <t>Помоћ у медицинском лечењу запосленог или члана уже породице</t>
  </si>
  <si>
    <t>I.5.1</t>
  </si>
  <si>
    <t>Накнада трошкова за одвојен живот од породице</t>
  </si>
  <si>
    <t>I.5.2</t>
  </si>
  <si>
    <t>Накнаде трошкова за превоз на посао и са посла</t>
  </si>
  <si>
    <t>I.5.3</t>
  </si>
  <si>
    <t>Накнаде трошкова за превоз на посао и са посла по путном налогу</t>
  </si>
  <si>
    <t>I.6.1</t>
  </si>
  <si>
    <t>Јубиларне награде запосленима</t>
  </si>
  <si>
    <t>I.6.2</t>
  </si>
  <si>
    <t>Накнаде члановима управних и надзорних одбора</t>
  </si>
  <si>
    <t>ТРОШКОВИ ПЛАТНОГ ПРОМЕТА И БАНКАРСКИХ УСЛУГА</t>
  </si>
  <si>
    <t>II.1.1.1</t>
  </si>
  <si>
    <t>Платни промет</t>
  </si>
  <si>
    <t>II.1.1.2</t>
  </si>
  <si>
    <t>Банкарске услуге</t>
  </si>
  <si>
    <t>ЕНЕРГЕТСКЕ УСЛУГЕ</t>
  </si>
  <si>
    <t>II.1.2.1</t>
  </si>
  <si>
    <t>Електрична енергија</t>
  </si>
  <si>
    <t>II.1.2.2</t>
  </si>
  <si>
    <t>Природни гас</t>
  </si>
  <si>
    <t>II.1.2.3</t>
  </si>
  <si>
    <t>Лож уље</t>
  </si>
  <si>
    <t>II.1.2.4</t>
  </si>
  <si>
    <t>Централно грејање</t>
  </si>
  <si>
    <t>КОМУНАЛНЕ УСЛУГЕ</t>
  </si>
  <si>
    <t>II.1.3.1</t>
  </si>
  <si>
    <t>Водовод и канализација</t>
  </si>
  <si>
    <t>II.1.3.2</t>
  </si>
  <si>
    <t>Одвоз отпада</t>
  </si>
  <si>
    <t>II.1.3.3</t>
  </si>
  <si>
    <t>Услуге чишћења</t>
  </si>
  <si>
    <t>УСЛУГЕ КОМУНИКАЦИЈЕ</t>
  </si>
  <si>
    <t>II.1.4.1</t>
  </si>
  <si>
    <t>Телефон, телекс и телефакс</t>
  </si>
  <si>
    <t>II.1.4.2</t>
  </si>
  <si>
    <t>Радио веза</t>
  </si>
  <si>
    <t>II.1.4.3</t>
  </si>
  <si>
    <t>Интернет и слично</t>
  </si>
  <si>
    <t>II.1.4.4</t>
  </si>
  <si>
    <t>Услуге мобилног телефона</t>
  </si>
  <si>
    <t>II.1.4.5</t>
  </si>
  <si>
    <t>Поштанске услуге</t>
  </si>
  <si>
    <t>II.1.4.6</t>
  </si>
  <si>
    <t>Пошта доплатне марке</t>
  </si>
  <si>
    <t>II.1.4.7</t>
  </si>
  <si>
    <t>Остале услуге комуникација</t>
  </si>
  <si>
    <t>ТРОШКОВИ ОСИГУРАЊА</t>
  </si>
  <si>
    <t>II.1.5.1</t>
  </si>
  <si>
    <t>Осигурање возила</t>
  </si>
  <si>
    <t>II.1.5.2</t>
  </si>
  <si>
    <t>Осигурање опреме</t>
  </si>
  <si>
    <t>II.1.5.3</t>
  </si>
  <si>
    <t>Осигурање имовине</t>
  </si>
  <si>
    <t>II.1.5.4</t>
  </si>
  <si>
    <t>Осигурање запослених у случају несреће</t>
  </si>
  <si>
    <t>ЗАКУП ИМОВИНЕ И ОПРЕМЕ</t>
  </si>
  <si>
    <t>II.1.6.1</t>
  </si>
  <si>
    <t>Закуп медицинске и лабораторијске опреме</t>
  </si>
  <si>
    <t>II.2.2.1</t>
  </si>
  <si>
    <t>Дневнице (исхрана) за путовање у оквиру редовног рада</t>
  </si>
  <si>
    <t>II.2.2.2</t>
  </si>
  <si>
    <t>II.2.2.3</t>
  </si>
  <si>
    <t>Трошкови путовања у оквиру редовног рада (по путном налогу)</t>
  </si>
  <si>
    <t>II.2.2.4</t>
  </si>
  <si>
    <t>Трошкови путовања у оквиру редовног рада (путарина)</t>
  </si>
  <si>
    <t>II.2.2.5</t>
  </si>
  <si>
    <t>Трошкови путовања у оквиру редовног рада (замена посла)</t>
  </si>
  <si>
    <t>II.3.1.1</t>
  </si>
  <si>
    <t>Остале административне услуге</t>
  </si>
  <si>
    <t>II.3.2.1</t>
  </si>
  <si>
    <t>Услуге одржавања софтвера</t>
  </si>
  <si>
    <t>II.3.3.1</t>
  </si>
  <si>
    <t>Услуге образовања и усавршавања запослених</t>
  </si>
  <si>
    <t>II.3.3.2</t>
  </si>
  <si>
    <t>Едукација запослених</t>
  </si>
  <si>
    <t>II.3.3.3</t>
  </si>
  <si>
    <t>Котизација за семинаре</t>
  </si>
  <si>
    <t>II.3.4.1</t>
  </si>
  <si>
    <t>Објављивање тендера и информативних огласа</t>
  </si>
  <si>
    <t>II.3.5.1</t>
  </si>
  <si>
    <t>II.3.5.2</t>
  </si>
  <si>
    <t>Остале стручне услуге - волонтери</t>
  </si>
  <si>
    <t>II.3.5.3</t>
  </si>
  <si>
    <t>Остале стручне услуге - надзор</t>
  </si>
  <si>
    <t>II.3.5.4</t>
  </si>
  <si>
    <t>Остале стручне услуге</t>
  </si>
  <si>
    <t>II.3.6.1</t>
  </si>
  <si>
    <t>Услуге прања веша</t>
  </si>
  <si>
    <t>II.3.7.1</t>
  </si>
  <si>
    <t>II.3.7.2</t>
  </si>
  <si>
    <t>Поклони</t>
  </si>
  <si>
    <t>II.3.8.1</t>
  </si>
  <si>
    <t>II.4.1.1</t>
  </si>
  <si>
    <t>Услуге јавног здравства - инспекција и анализа</t>
  </si>
  <si>
    <t>II.4.1.2</t>
  </si>
  <si>
    <t>Остале медицинске услуге</t>
  </si>
  <si>
    <t>II.4.2.1</t>
  </si>
  <si>
    <t>Услуге очувања животне средине</t>
  </si>
  <si>
    <t>II.4.3.1</t>
  </si>
  <si>
    <t>Остале специјализоиване  услуге - медицина рада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</si>
  <si>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</si>
  <si>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</si>
  <si>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</si>
  <si>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</si>
  <si>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</si>
  <si>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</si>
  <si>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</si>
  <si>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</si>
  <si>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</si>
  <si>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</si>
  <si>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</si>
  <si>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</si>
  <si>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</si>
  <si>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</si>
  <si>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</si>
  <si>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</si>
  <si>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</si>
  <si>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</si>
  <si>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</si>
  <si>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</si>
  <si>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</si>
  <si>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Сервис возила</t>
  </si>
  <si>
    <t>II.5.2.1.2</t>
  </si>
  <si>
    <t>Остале поправке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</si>
  <si>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</si>
  <si>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</si>
  <si>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</si>
  <si>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</si>
  <si>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</si>
  <si>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</si>
  <si>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</si>
  <si>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</si>
  <si>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</si>
  <si>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</si>
  <si>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</si>
  <si>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</si>
  <si>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</si>
  <si>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Сервис уградне опреме</t>
  </si>
  <si>
    <t>II.5.2.4</t>
  </si>
  <si>
    <t>Текуће поправке и одржавање медицинске опреме</t>
  </si>
  <si>
    <t>II.5.2.4.1</t>
  </si>
  <si>
    <t>II.5.2.4.2</t>
  </si>
  <si>
    <t>Сервис стоматолошке опреме</t>
  </si>
  <si>
    <t>II.5.2.4.3</t>
  </si>
  <si>
    <t>Текуће поправке и одржавање лабораторијске опреме</t>
  </si>
  <si>
    <t>II.5.2.4.4</t>
  </si>
  <si>
    <t>Текуће поправке и одржавање мерних и контролних инструмената</t>
  </si>
  <si>
    <t>II.5.2.4.5</t>
  </si>
  <si>
    <t>Текуће поправке и одржавање опреме за јавну бетбедност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</si>
  <si>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</si>
  <si>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</si>
  <si>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</si>
  <si>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</si>
  <si>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</si>
  <si>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</si>
  <si>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</si>
  <si>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II.6.1.4</t>
  </si>
  <si>
    <t>Радна униформа</t>
  </si>
  <si>
    <t>II.6.1.5</t>
  </si>
  <si>
    <t>Цвеће и зеленило</t>
  </si>
  <si>
    <t>II.6.2.1</t>
  </si>
  <si>
    <t>Материјали за образовање и усавршавање запослених -стручна литература</t>
  </si>
  <si>
    <t>МАТЕРИЈАЛИ ЗА САОБРАЋАЈ</t>
  </si>
  <si>
    <t>II.6.3.1</t>
  </si>
  <si>
    <t>Бензин</t>
  </si>
  <si>
    <t>II.6.3.2</t>
  </si>
  <si>
    <t>Дизел гориво</t>
  </si>
  <si>
    <t>II.6.3.3</t>
  </si>
  <si>
    <t>Уља и мазива</t>
  </si>
  <si>
    <t>II.6.3.4</t>
  </si>
  <si>
    <t>Ауто гуме</t>
  </si>
  <si>
    <t>II.6.3.5</t>
  </si>
  <si>
    <t>Ауто делови</t>
  </si>
  <si>
    <t>II.6.4.1</t>
  </si>
  <si>
    <t>Остали материјал за очување животне средине</t>
  </si>
  <si>
    <t>МЕДИЦИНСКИ И ЛАБОРАТОРИЈСКИ МАТЕРИЈАЛИ</t>
  </si>
  <si>
    <t>II.6.5.1</t>
  </si>
  <si>
    <t>Материјал за медицинске тестове</t>
  </si>
  <si>
    <t>II.6.5.1.1</t>
  </si>
  <si>
    <t>Санитетски материјал</t>
  </si>
  <si>
    <t>II.6.5.1.2</t>
  </si>
  <si>
    <t>Материјал за дезинфекцију</t>
  </si>
  <si>
    <t>II.6.5.1.3</t>
  </si>
  <si>
    <t>Медицински кисеоник</t>
  </si>
  <si>
    <t>II.6.5.2</t>
  </si>
  <si>
    <t>Материјал за лабораторијске тестове</t>
  </si>
  <si>
    <t>II.6.5.3</t>
  </si>
  <si>
    <t xml:space="preserve">Лекови </t>
  </si>
  <si>
    <t>II.6.5.3.1</t>
  </si>
  <si>
    <t>Лекови у ЗУ</t>
  </si>
  <si>
    <t>II.6.5.3.2</t>
  </si>
  <si>
    <t>Соматулин, Сандостатин</t>
  </si>
  <si>
    <t>II.6.5.4</t>
  </si>
  <si>
    <t>Остали медицински материјали</t>
  </si>
  <si>
    <t>II.6.5.4.1</t>
  </si>
  <si>
    <t>Стоматолошки потрошни материјал</t>
  </si>
  <si>
    <t>II.6.5.4.2</t>
  </si>
  <si>
    <t>Остали санитетски материјал</t>
  </si>
  <si>
    <t>МАТЕРИЈАЛИ ЗА ОДРЖАВАЊЕ ХИГИЈЕНЕ И УГОСТИТЕЉСТВО</t>
  </si>
  <si>
    <t>II.6.6.1</t>
  </si>
  <si>
    <t>Средства за оржавање хигијене</t>
  </si>
  <si>
    <t>II.6.6.2</t>
  </si>
  <si>
    <t>Инвентар за одржавање хигијене</t>
  </si>
  <si>
    <t>II.6.6.3</t>
  </si>
  <si>
    <t>Остали материјал за одржавање хигијене</t>
  </si>
  <si>
    <t>II.6.6.4</t>
  </si>
  <si>
    <t>Текстилни материјал</t>
  </si>
  <si>
    <t>II.6.7.1</t>
  </si>
  <si>
    <t>Електро материјал</t>
  </si>
  <si>
    <t>II.6.7.2</t>
  </si>
  <si>
    <t>Водоводни материјал</t>
  </si>
  <si>
    <t>II.6.7.3</t>
  </si>
  <si>
    <t>Браварско лимарски материјал</t>
  </si>
  <si>
    <t>II.6.7.4</t>
  </si>
  <si>
    <t>Материјал за котларницу</t>
  </si>
  <si>
    <t>II.6.7.5</t>
  </si>
  <si>
    <t>Молерски материјал</t>
  </si>
  <si>
    <t>II.6.7.6</t>
  </si>
  <si>
    <t>Остали технички материјал</t>
  </si>
  <si>
    <t>II.6.7.7</t>
  </si>
  <si>
    <t>Пропан бутан у боцама и течни азот</t>
  </si>
  <si>
    <t>II.6.7.8</t>
  </si>
  <si>
    <t>Резервни делови</t>
  </si>
  <si>
    <t>II.6.7.9</t>
  </si>
  <si>
    <t>Остали резервни делови</t>
  </si>
  <si>
    <t>II.6.7.10</t>
  </si>
  <si>
    <t>Резервни делови за медицинску опрему</t>
  </si>
  <si>
    <t>II.6.7.11</t>
  </si>
  <si>
    <t>Со за путеве</t>
  </si>
  <si>
    <t>IV.1</t>
  </si>
  <si>
    <t>V.1.</t>
  </si>
  <si>
    <t>VI.1.1</t>
  </si>
  <si>
    <t>Регистрација возила</t>
  </si>
  <si>
    <t>VI.1.2</t>
  </si>
  <si>
    <t>Порез на добит правних лица</t>
  </si>
  <si>
    <t>VI.1.3</t>
  </si>
  <si>
    <t>Републичке таксе</t>
  </si>
  <si>
    <t>VI.1.4</t>
  </si>
  <si>
    <t>Судске таксе</t>
  </si>
  <si>
    <t>VI.1.5</t>
  </si>
  <si>
    <t>Општинске таксе</t>
  </si>
  <si>
    <t>VI.1.6</t>
  </si>
  <si>
    <t>Републичке казне</t>
  </si>
  <si>
    <t>VII.1.</t>
  </si>
  <si>
    <t>VII.2.</t>
  </si>
  <si>
    <t>Новчане казне и пенали по решењу судова ВАНСУДСКО ПОРАВНАЊЕ</t>
  </si>
  <si>
    <t>VII.3.</t>
  </si>
  <si>
    <t>Новчане казне и пенали по решењу судова КАМАТЕ</t>
  </si>
  <si>
    <t>VIII.1</t>
  </si>
  <si>
    <t>VIII.1.1</t>
  </si>
  <si>
    <t>VIII.1.2</t>
  </si>
  <si>
    <t>Санитетко возило</t>
  </si>
  <si>
    <t>VIII.1.3</t>
  </si>
  <si>
    <t>VIII.1.4</t>
  </si>
  <si>
    <t>Уградна опрема</t>
  </si>
  <si>
    <t>VIII.1.5</t>
  </si>
  <si>
    <t>VIII.1.6</t>
  </si>
  <si>
    <t>Телефони</t>
  </si>
  <si>
    <t>VIII.1.7</t>
  </si>
  <si>
    <t>VIII.1.8</t>
  </si>
  <si>
    <t>Мерни и контролни инструменти</t>
  </si>
  <si>
    <t xml:space="preserve">Опрема за домаћинство  </t>
  </si>
  <si>
    <t>Радио станица са припадајућом опремом</t>
  </si>
  <si>
    <t xml:space="preserve"> ДИРЕКТОР</t>
  </si>
  <si>
    <t>ugovor+štete+sand+jub+otpr+pom+inv</t>
  </si>
  <si>
    <t>plan</t>
  </si>
  <si>
    <t>razliNa</t>
  </si>
  <si>
    <t>plate</t>
  </si>
  <si>
    <t>prevoz</t>
  </si>
  <si>
    <t>leNovi</t>
  </si>
  <si>
    <t>sandostatin</t>
  </si>
  <si>
    <t>san.mat+lab+stom</t>
  </si>
  <si>
    <t>energenti</t>
  </si>
  <si>
    <t>OMT+štete</t>
  </si>
  <si>
    <t>otpr+jubil+pomoć</t>
  </si>
  <si>
    <t>инвалиди</t>
  </si>
  <si>
    <t>bolovanje,</t>
  </si>
  <si>
    <t>стоматологија</t>
  </si>
  <si>
    <t>san.mat</t>
  </si>
  <si>
    <t>дезинфекција</t>
  </si>
  <si>
    <t>stom potr</t>
  </si>
  <si>
    <t>ostali mat tr</t>
  </si>
  <si>
    <t>jub i otpr</t>
  </si>
  <si>
    <t>inv</t>
  </si>
  <si>
    <t>participacija</t>
  </si>
  <si>
    <t xml:space="preserve">III РЕБАЛАНС ФИНАНСИЈСКОГ ПЛАНА ЗА 2019. ГОДИНУ </t>
  </si>
  <si>
    <t>5=6+7+8+9+10</t>
  </si>
  <si>
    <t>11=12+13+14+15+16</t>
  </si>
  <si>
    <t>Износ планираних прихода и примања III ребаланс</t>
  </si>
  <si>
    <t>Износ планираних расхода и издатака III ребаланс</t>
  </si>
  <si>
    <t>рфзо</t>
  </si>
  <si>
    <t>сопств</t>
  </si>
  <si>
    <t>II.2.2</t>
  </si>
  <si>
    <t>Трошкови смештаја на службеном путу</t>
  </si>
  <si>
    <t>Остали материјали за домаћинство</t>
  </si>
  <si>
    <t>ugovor</t>
  </si>
  <si>
    <t>razlika</t>
  </si>
  <si>
    <t>Електронска опрема</t>
  </si>
  <si>
    <t>Медицинска и лабораторијска опрема</t>
  </si>
  <si>
    <t>ISPRAVIT5I 48* KAMATU NA 44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</si>
</sst>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name val="Cambria"/>
      <family val="1"/>
    </font>
    <font>
      <sz val="7"/>
      <name val="Cambria"/>
      <family val="1"/>
    </font>
    <font>
      <sz val="7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10"/>
      <name val="Cambria"/>
      <family val="1"/>
    </font>
    <font>
      <sz val="2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3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55" applyFont="1" applyFill="1" applyAlignment="1">
      <alignment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49" fontId="3" fillId="0" borderId="13" xfId="55" applyNumberFormat="1" applyFont="1" applyFill="1" applyBorder="1" applyAlignment="1">
      <alignment horizontal="center" vertical="center"/>
      <protection/>
    </xf>
    <xf numFmtId="164" fontId="10" fillId="0" borderId="13" xfId="55" applyNumberFormat="1" applyFont="1" applyFill="1" applyBorder="1" applyAlignment="1">
      <alignment horizontal="right" vertical="center" wrapText="1"/>
      <protection/>
    </xf>
    <xf numFmtId="164" fontId="10" fillId="0" borderId="13" xfId="0" applyNumberFormat="1" applyFont="1" applyFill="1" applyBorder="1" applyAlignment="1">
      <alignment horizontal="right" vertical="center" wrapText="1"/>
    </xf>
    <xf numFmtId="3" fontId="10" fillId="0" borderId="13" xfId="55" applyNumberFormat="1" applyFont="1" applyFill="1" applyBorder="1" applyAlignment="1">
      <alignment horizontal="right" vertical="center" wrapText="1"/>
      <protection/>
    </xf>
    <xf numFmtId="0" fontId="3" fillId="0" borderId="14" xfId="55" applyFont="1" applyFill="1" applyBorder="1" applyAlignment="1">
      <alignment horizontal="center" vertical="center"/>
      <protection/>
    </xf>
    <xf numFmtId="49" fontId="3" fillId="0" borderId="14" xfId="55" applyNumberFormat="1" applyFont="1" applyFill="1" applyBorder="1" applyAlignment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left" vertical="center" wrapText="1"/>
      <protection/>
    </xf>
    <xf numFmtId="164" fontId="10" fillId="0" borderId="14" xfId="55" applyNumberFormat="1" applyFont="1" applyFill="1" applyBorder="1" applyAlignment="1">
      <alignment horizontal="right" vertical="center" wrapText="1"/>
      <protection/>
    </xf>
    <xf numFmtId="164" fontId="10" fillId="0" borderId="14" xfId="0" applyNumberFormat="1" applyFont="1" applyFill="1" applyBorder="1" applyAlignment="1">
      <alignment horizontal="right" vertical="center" wrapText="1"/>
    </xf>
    <xf numFmtId="3" fontId="10" fillId="0" borderId="14" xfId="55" applyNumberFormat="1" applyFont="1" applyFill="1" applyBorder="1" applyAlignment="1">
      <alignment horizontal="right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center" vertical="center"/>
      <protection/>
    </xf>
    <xf numFmtId="49" fontId="3" fillId="0" borderId="16" xfId="55" applyNumberFormat="1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vertical="center" wrapText="1"/>
      <protection/>
    </xf>
    <xf numFmtId="164" fontId="10" fillId="0" borderId="10" xfId="55" applyNumberFormat="1" applyFont="1" applyFill="1" applyBorder="1" applyAlignment="1">
      <alignment horizontal="right" vertical="center" wrapText="1"/>
      <protection/>
    </xf>
    <xf numFmtId="164" fontId="10" fillId="0" borderId="10" xfId="0" applyNumberFormat="1" applyFont="1" applyFill="1" applyBorder="1" applyAlignment="1">
      <alignment horizontal="right" vertical="center" wrapText="1"/>
    </xf>
    <xf numFmtId="3" fontId="11" fillId="0" borderId="10" xfId="55" applyNumberFormat="1" applyFont="1" applyFill="1" applyBorder="1" applyAlignment="1">
      <alignment horizontal="righ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3" fontId="10" fillId="0" borderId="10" xfId="55" applyNumberFormat="1" applyFont="1" applyFill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164" fontId="11" fillId="0" borderId="10" xfId="55" applyNumberFormat="1" applyFont="1" applyFill="1" applyBorder="1" applyAlignment="1">
      <alignment horizontal="right" vertical="center" wrapText="1"/>
      <protection/>
    </xf>
    <xf numFmtId="164" fontId="11" fillId="0" borderId="10" xfId="0" applyNumberFormat="1" applyFont="1" applyFill="1" applyBorder="1" applyAlignment="1">
      <alignment horizontal="right" vertical="center" wrapText="1"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left" vertical="center" wrapText="1"/>
      <protection/>
    </xf>
    <xf numFmtId="164" fontId="11" fillId="0" borderId="11" xfId="55" applyNumberFormat="1" applyFont="1" applyFill="1" applyBorder="1" applyAlignment="1">
      <alignment horizontal="right" vertical="center" wrapText="1"/>
      <protection/>
    </xf>
    <xf numFmtId="164" fontId="11" fillId="0" borderId="11" xfId="0" applyNumberFormat="1" applyFont="1" applyFill="1" applyBorder="1" applyAlignment="1">
      <alignment horizontal="right" vertical="center" wrapText="1"/>
    </xf>
    <xf numFmtId="3" fontId="11" fillId="0" borderId="11" xfId="55" applyNumberFormat="1" applyFont="1" applyFill="1" applyBorder="1" applyAlignment="1">
      <alignment horizontal="right" vertical="center" wrapText="1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vertical="center" wrapText="1"/>
    </xf>
    <xf numFmtId="164" fontId="11" fillId="0" borderId="14" xfId="55" applyNumberFormat="1" applyFont="1" applyFill="1" applyBorder="1" applyAlignment="1">
      <alignment horizontal="right" vertical="center" wrapText="1"/>
      <protection/>
    </xf>
    <xf numFmtId="164" fontId="11" fillId="0" borderId="14" xfId="0" applyNumberFormat="1" applyFont="1" applyFill="1" applyBorder="1" applyAlignment="1">
      <alignment horizontal="right" vertical="center" wrapText="1"/>
    </xf>
    <xf numFmtId="3" fontId="11" fillId="0" borderId="14" xfId="55" applyNumberFormat="1" applyFont="1" applyFill="1" applyBorder="1" applyAlignment="1">
      <alignment horizontal="right" vertical="center" wrapText="1"/>
      <protection/>
    </xf>
    <xf numFmtId="49" fontId="3" fillId="0" borderId="13" xfId="55" applyNumberFormat="1" applyFont="1" applyFill="1" applyBorder="1" applyAlignment="1">
      <alignment horizontal="center" vertical="center" wrapText="1"/>
      <protection/>
    </xf>
    <xf numFmtId="16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3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3" fontId="5" fillId="0" borderId="14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55" applyFont="1" applyFill="1" applyAlignment="1">
      <alignment horizontal="left" vertical="center"/>
      <protection/>
    </xf>
    <xf numFmtId="0" fontId="14" fillId="0" borderId="11" xfId="0" applyFont="1" applyFill="1" applyBorder="1" applyAlignment="1">
      <alignment vertical="center"/>
    </xf>
    <xf numFmtId="0" fontId="3" fillId="0" borderId="17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>
      <alignment horizontal="right" vertical="center" wrapText="1"/>
    </xf>
    <xf numFmtId="0" fontId="4" fillId="0" borderId="11" xfId="55" applyFont="1" applyFill="1" applyBorder="1" applyAlignment="1" applyProtection="1">
      <alignment vertical="center" wrapText="1"/>
      <protection/>
    </xf>
    <xf numFmtId="0" fontId="4" fillId="0" borderId="11" xfId="55" applyFont="1" applyFill="1" applyBorder="1" applyAlignment="1">
      <alignment vertical="center"/>
      <protection/>
    </xf>
    <xf numFmtId="0" fontId="4" fillId="0" borderId="22" xfId="55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3" fillId="0" borderId="22" xfId="55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right" vertical="center" wrapText="1"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4" fillId="0" borderId="14" xfId="55" applyFont="1" applyFill="1" applyBorder="1" applyAlignment="1" applyProtection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 applyProtection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1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49" fontId="3" fillId="0" borderId="24" xfId="55" applyNumberFormat="1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 applyProtection="1">
      <alignment horizontal="center" vertical="center" wrapText="1"/>
      <protection/>
    </xf>
    <xf numFmtId="49" fontId="4" fillId="0" borderId="24" xfId="55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3" fillId="0" borderId="25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>
      <alignment vertical="center" wrapText="1"/>
      <protection/>
    </xf>
    <xf numFmtId="0" fontId="4" fillId="0" borderId="25" xfId="55" applyFont="1" applyFill="1" applyBorder="1" applyAlignment="1" applyProtection="1">
      <alignment vertical="center" wrapText="1"/>
      <protection/>
    </xf>
    <xf numFmtId="0" fontId="4" fillId="0" borderId="14" xfId="55" applyFont="1" applyFill="1" applyBorder="1" applyAlignment="1">
      <alignment vertical="center"/>
      <protection/>
    </xf>
    <xf numFmtId="3" fontId="10" fillId="0" borderId="13" xfId="0" applyNumberFormat="1" applyFont="1" applyFill="1" applyBorder="1" applyAlignment="1">
      <alignment horizontal="right" vertical="center" wrapText="1"/>
    </xf>
    <xf numFmtId="0" fontId="3" fillId="0" borderId="15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vertical="center"/>
      <protection/>
    </xf>
    <xf numFmtId="3" fontId="11" fillId="0" borderId="10" xfId="0" applyNumberFormat="1" applyFont="1" applyFill="1" applyBorder="1" applyAlignment="1">
      <alignment vertical="center"/>
    </xf>
    <xf numFmtId="0" fontId="4" fillId="0" borderId="25" xfId="55" applyFont="1" applyFill="1" applyBorder="1" applyAlignment="1">
      <alignment vertical="center"/>
      <protection/>
    </xf>
    <xf numFmtId="0" fontId="4" fillId="0" borderId="17" xfId="55" applyFont="1" applyFill="1" applyBorder="1" applyAlignment="1">
      <alignment vertical="center"/>
      <protection/>
    </xf>
    <xf numFmtId="49" fontId="3" fillId="0" borderId="14" xfId="55" applyNumberFormat="1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49" fontId="4" fillId="0" borderId="22" xfId="55" applyNumberFormat="1" applyFont="1" applyFill="1" applyBorder="1" applyAlignment="1" applyProtection="1">
      <alignment horizontal="center" vertical="center" wrapText="1"/>
      <protection/>
    </xf>
    <xf numFmtId="49" fontId="3" fillId="0" borderId="17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55" applyFont="1" applyFill="1" applyBorder="1" applyAlignment="1" applyProtection="1">
      <alignment vertical="center" wrapText="1"/>
      <protection/>
    </xf>
    <xf numFmtId="49" fontId="4" fillId="0" borderId="26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55" applyFont="1" applyFill="1" applyBorder="1" applyAlignment="1">
      <alignment vertical="center"/>
      <protection/>
    </xf>
    <xf numFmtId="49" fontId="3" fillId="0" borderId="17" xfId="55" applyNumberFormat="1" applyFont="1" applyFill="1" applyBorder="1" applyAlignment="1" applyProtection="1">
      <alignment vertical="center" wrapText="1"/>
      <protection/>
    </xf>
    <xf numFmtId="0" fontId="3" fillId="0" borderId="13" xfId="55" applyFont="1" applyFill="1" applyBorder="1" applyAlignment="1" applyProtection="1">
      <alignment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55" applyFont="1" applyFill="1" applyBorder="1" applyAlignment="1" applyProtection="1">
      <alignment vertical="center" wrapText="1"/>
      <protection/>
    </xf>
    <xf numFmtId="3" fontId="10" fillId="0" borderId="27" xfId="55" applyNumberFormat="1" applyFont="1" applyFill="1" applyBorder="1" applyAlignment="1">
      <alignment horizontal="right" vertical="center" wrapText="1"/>
      <protection/>
    </xf>
    <xf numFmtId="3" fontId="10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25" xfId="55" applyFont="1" applyFill="1" applyBorder="1" applyAlignment="1">
      <alignment vertical="center" wrapText="1"/>
      <protection/>
    </xf>
    <xf numFmtId="3" fontId="11" fillId="0" borderId="17" xfId="55" applyNumberFormat="1" applyFont="1" applyFill="1" applyBorder="1" applyAlignment="1">
      <alignment horizontal="right" vertical="center" wrapText="1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3" fontId="10" fillId="0" borderId="27" xfId="0" applyNumberFormat="1" applyFont="1" applyFill="1" applyBorder="1" applyAlignment="1">
      <alignment horizontal="right" vertical="center" wrapText="1"/>
    </xf>
    <xf numFmtId="49" fontId="3" fillId="0" borderId="0" xfId="55" applyNumberFormat="1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>
      <alignment horizontal="right" vertical="center" wrapText="1"/>
    </xf>
    <xf numFmtId="49" fontId="4" fillId="0" borderId="14" xfId="55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>
      <alignment vertical="center"/>
    </xf>
    <xf numFmtId="3" fontId="3" fillId="0" borderId="0" xfId="55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3" fillId="0" borderId="13" xfId="55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vertical="center" wrapText="1"/>
    </xf>
    <xf numFmtId="0" fontId="4" fillId="0" borderId="24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/>
      <protection/>
    </xf>
    <xf numFmtId="3" fontId="14" fillId="0" borderId="10" xfId="0" applyNumberFormat="1" applyFont="1" applyFill="1" applyBorder="1" applyAlignment="1">
      <alignment vertical="center"/>
    </xf>
    <xf numFmtId="0" fontId="4" fillId="0" borderId="18" xfId="55" applyFont="1" applyFill="1" applyBorder="1" applyAlignment="1">
      <alignment vertical="center" wrapText="1"/>
      <protection/>
    </xf>
    <xf numFmtId="0" fontId="3" fillId="0" borderId="16" xfId="55" applyFont="1" applyFill="1" applyBorder="1" applyAlignment="1">
      <alignment vertical="center" wrapText="1"/>
      <protection/>
    </xf>
    <xf numFmtId="3" fontId="10" fillId="0" borderId="10" xfId="0" applyNumberFormat="1" applyFont="1" applyFill="1" applyBorder="1" applyAlignment="1">
      <alignment vertical="center"/>
    </xf>
    <xf numFmtId="49" fontId="3" fillId="0" borderId="22" xfId="55" applyNumberFormat="1" applyFont="1" applyFill="1" applyBorder="1" applyAlignment="1" applyProtection="1">
      <alignment horizontal="center" vertical="center" wrapText="1"/>
      <protection/>
    </xf>
    <xf numFmtId="49" fontId="3" fillId="0" borderId="26" xfId="55" applyNumberFormat="1" applyFont="1" applyFill="1" applyBorder="1" applyAlignment="1" applyProtection="1">
      <alignment horizontal="center" vertical="center" wrapText="1"/>
      <protection/>
    </xf>
    <xf numFmtId="49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16" fillId="0" borderId="25" xfId="55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49" fontId="4" fillId="0" borderId="16" xfId="55" applyNumberFormat="1" applyFont="1" applyFill="1" applyBorder="1" applyAlignment="1">
      <alignment vertical="center" wrapText="1"/>
      <protection/>
    </xf>
    <xf numFmtId="49" fontId="3" fillId="0" borderId="23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14" xfId="55" applyFont="1" applyFill="1" applyBorder="1" applyAlignment="1" applyProtection="1">
      <alignment vertical="center" wrapText="1"/>
      <protection/>
    </xf>
    <xf numFmtId="0" fontId="3" fillId="0" borderId="22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vertical="center"/>
      <protection/>
    </xf>
    <xf numFmtId="2" fontId="4" fillId="0" borderId="16" xfId="55" applyNumberFormat="1" applyFont="1" applyFill="1" applyBorder="1" applyAlignment="1">
      <alignment vertical="center" wrapText="1"/>
      <protection/>
    </xf>
    <xf numFmtId="0" fontId="4" fillId="0" borderId="20" xfId="55" applyFont="1" applyFill="1" applyBorder="1" applyAlignment="1">
      <alignment vertical="center"/>
      <protection/>
    </xf>
    <xf numFmtId="0" fontId="4" fillId="0" borderId="23" xfId="55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3" fillId="0" borderId="10" xfId="55" applyFont="1" applyFill="1" applyBorder="1" applyAlignment="1">
      <alignment vertical="center" wrapText="1"/>
      <protection/>
    </xf>
    <xf numFmtId="0" fontId="4" fillId="0" borderId="15" xfId="55" applyFont="1" applyFill="1" applyBorder="1" applyAlignment="1" applyProtection="1">
      <alignment vertical="center" wrapText="1"/>
      <protection/>
    </xf>
    <xf numFmtId="0" fontId="4" fillId="0" borderId="15" xfId="55" applyFont="1" applyFill="1" applyBorder="1" applyAlignment="1">
      <alignment vertical="center" wrapText="1"/>
      <protection/>
    </xf>
    <xf numFmtId="49" fontId="3" fillId="0" borderId="26" xfId="55" applyNumberFormat="1" applyFont="1" applyFill="1" applyBorder="1" applyAlignment="1" applyProtection="1">
      <alignment vertical="center" wrapText="1"/>
      <protection/>
    </xf>
    <xf numFmtId="49" fontId="3" fillId="0" borderId="23" xfId="55" applyNumberFormat="1" applyFont="1" applyFill="1" applyBorder="1" applyAlignment="1" applyProtection="1">
      <alignment vertical="center" wrapText="1"/>
      <protection/>
    </xf>
    <xf numFmtId="49" fontId="3" fillId="0" borderId="11" xfId="55" applyNumberFormat="1" applyFont="1" applyFill="1" applyBorder="1" applyAlignment="1" applyProtection="1">
      <alignment vertical="center" wrapText="1"/>
      <protection/>
    </xf>
    <xf numFmtId="49" fontId="3" fillId="0" borderId="14" xfId="55" applyNumberFormat="1" applyFont="1" applyFill="1" applyBorder="1" applyAlignment="1" applyProtection="1">
      <alignment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5" applyFont="1" applyFill="1" applyBorder="1" applyAlignment="1">
      <alignment vertical="center" wrapText="1"/>
      <protection/>
    </xf>
    <xf numFmtId="49" fontId="3" fillId="0" borderId="13" xfId="55" applyNumberFormat="1" applyFont="1" applyFill="1" applyBorder="1" applyAlignment="1" applyProtection="1">
      <alignment horizontal="center" vertical="center" wrapText="1"/>
      <protection/>
    </xf>
    <xf numFmtId="49" fontId="3" fillId="0" borderId="21" xfId="55" applyNumberFormat="1" applyFont="1" applyFill="1" applyBorder="1" applyAlignment="1" applyProtection="1">
      <alignment horizontal="center" vertical="center" wrapText="1"/>
      <protection/>
    </xf>
    <xf numFmtId="49" fontId="4" fillId="0" borderId="15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right" vertical="center" wrapText="1"/>
      <protection/>
    </xf>
    <xf numFmtId="3" fontId="4" fillId="0" borderId="0" xfId="55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15" xfId="55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/>
    </xf>
    <xf numFmtId="0" fontId="8" fillId="0" borderId="28" xfId="55" applyFont="1" applyFill="1" applyBorder="1" applyAlignment="1">
      <alignment horizontal="center" vertical="center" wrapText="1"/>
      <protection/>
    </xf>
    <xf numFmtId="0" fontId="9" fillId="0" borderId="28" xfId="0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10" fontId="2" fillId="33" borderId="0" xfId="0" applyNumberFormat="1" applyFont="1" applyFill="1" applyAlignment="1">
      <alignment vertical="center"/>
    </xf>
    <xf numFmtId="3" fontId="4" fillId="34" borderId="0" xfId="55" applyNumberFormat="1" applyFont="1" applyFill="1" applyBorder="1" applyAlignment="1">
      <alignment horizontal="right" vertical="center" wrapText="1"/>
      <protection/>
    </xf>
    <xf numFmtId="0" fontId="4" fillId="30" borderId="10" xfId="55" applyFont="1" applyFill="1" applyBorder="1" applyAlignment="1">
      <alignment horizontal="center" vertical="center" wrapText="1"/>
      <protection/>
    </xf>
    <xf numFmtId="0" fontId="4" fillId="30" borderId="16" xfId="55" applyFont="1" applyFill="1" applyBorder="1" applyAlignment="1">
      <alignment vertical="center" wrapText="1"/>
      <protection/>
    </xf>
    <xf numFmtId="3" fontId="11" fillId="30" borderId="10" xfId="55" applyNumberFormat="1" applyFont="1" applyFill="1" applyBorder="1" applyAlignment="1">
      <alignment horizontal="right" vertical="center" wrapText="1"/>
      <protection/>
    </xf>
    <xf numFmtId="3" fontId="11" fillId="3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0" xfId="0" applyNumberFormat="1" applyFont="1" applyFill="1" applyAlignment="1">
      <alignment vertical="center"/>
    </xf>
    <xf numFmtId="3" fontId="2" fillId="36" borderId="0" xfId="0" applyNumberFormat="1" applyFont="1" applyFill="1" applyAlignment="1">
      <alignment vertical="center"/>
    </xf>
    <xf numFmtId="3" fontId="11" fillId="30" borderId="10" xfId="0" applyNumberFormat="1" applyFont="1" applyFill="1" applyBorder="1" applyAlignment="1">
      <alignment vertical="center"/>
    </xf>
    <xf numFmtId="49" fontId="4" fillId="30" borderId="10" xfId="55" applyNumberFormat="1" applyFont="1" applyFill="1" applyBorder="1" applyAlignment="1" applyProtection="1">
      <alignment horizontal="center" vertical="center" wrapText="1"/>
      <protection/>
    </xf>
    <xf numFmtId="49" fontId="4" fillId="30" borderId="22" xfId="55" applyNumberFormat="1" applyFont="1" applyFill="1" applyBorder="1" applyAlignment="1" applyProtection="1">
      <alignment horizontal="center" vertical="center" wrapText="1"/>
      <protection/>
    </xf>
    <xf numFmtId="0" fontId="4" fillId="30" borderId="16" xfId="55" applyFont="1" applyFill="1" applyBorder="1" applyAlignment="1">
      <alignment horizontal="center" vertical="center" wrapText="1"/>
      <protection/>
    </xf>
    <xf numFmtId="0" fontId="4" fillId="30" borderId="16" xfId="55" applyFont="1" applyFill="1" applyBorder="1" applyAlignment="1">
      <alignment horizontal="left" vertical="center" wrapText="1"/>
      <protection/>
    </xf>
    <xf numFmtId="3" fontId="11" fillId="30" borderId="10" xfId="0" applyNumberFormat="1" applyFont="1" applyFill="1" applyBorder="1" applyAlignment="1">
      <alignment horizontal="right" vertical="center" wrapText="1"/>
    </xf>
    <xf numFmtId="0" fontId="4" fillId="30" borderId="11" xfId="55" applyFont="1" applyFill="1" applyBorder="1" applyAlignment="1" applyProtection="1">
      <alignment horizontal="center" vertical="center" wrapText="1"/>
      <protection/>
    </xf>
    <xf numFmtId="0" fontId="4" fillId="30" borderId="11" xfId="55" applyFont="1" applyFill="1" applyBorder="1" applyAlignment="1">
      <alignment horizontal="center" vertical="center"/>
      <protection/>
    </xf>
    <xf numFmtId="0" fontId="4" fillId="30" borderId="18" xfId="55" applyFont="1" applyFill="1" applyBorder="1" applyAlignment="1">
      <alignment vertical="center" wrapText="1"/>
      <protection/>
    </xf>
    <xf numFmtId="3" fontId="11" fillId="30" borderId="11" xfId="55" applyNumberFormat="1" applyFont="1" applyFill="1" applyBorder="1" applyAlignment="1">
      <alignment horizontal="right" vertical="center" wrapText="1"/>
      <protection/>
    </xf>
    <xf numFmtId="3" fontId="11" fillId="30" borderId="11" xfId="0" applyNumberFormat="1" applyFont="1" applyFill="1" applyBorder="1" applyAlignment="1">
      <alignment vertical="center"/>
    </xf>
    <xf numFmtId="10" fontId="2" fillId="30" borderId="0" xfId="0" applyNumberFormat="1" applyFont="1" applyFill="1" applyAlignment="1">
      <alignment vertical="center"/>
    </xf>
    <xf numFmtId="0" fontId="3" fillId="30" borderId="16" xfId="55" applyFont="1" applyFill="1" applyBorder="1" applyAlignment="1">
      <alignment vertical="center" wrapText="1"/>
      <protection/>
    </xf>
    <xf numFmtId="3" fontId="10" fillId="3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0" borderId="29" xfId="55" applyNumberFormat="1" applyFont="1" applyFill="1" applyBorder="1" applyAlignment="1" applyProtection="1">
      <alignment horizontal="center" vertical="center" wrapText="1"/>
      <protection/>
    </xf>
    <xf numFmtId="0" fontId="4" fillId="30" borderId="19" xfId="55" applyFont="1" applyFill="1" applyBorder="1" applyAlignment="1">
      <alignment horizontal="center" vertical="center" wrapText="1"/>
      <protection/>
    </xf>
    <xf numFmtId="0" fontId="4" fillId="30" borderId="30" xfId="55" applyFont="1" applyFill="1" applyBorder="1" applyAlignment="1">
      <alignment vertical="center" wrapText="1"/>
      <protection/>
    </xf>
    <xf numFmtId="3" fontId="11" fillId="30" borderId="19" xfId="55" applyNumberFormat="1" applyFont="1" applyFill="1" applyBorder="1" applyAlignment="1">
      <alignment horizontal="right" vertical="center" wrapText="1"/>
      <protection/>
    </xf>
    <xf numFmtId="3" fontId="11" fillId="30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30" borderId="25" xfId="55" applyNumberFormat="1" applyFont="1" applyFill="1" applyBorder="1" applyAlignment="1" applyProtection="1">
      <alignment horizontal="center" vertical="center" wrapText="1"/>
      <protection/>
    </xf>
    <xf numFmtId="0" fontId="4" fillId="30" borderId="17" xfId="55" applyFont="1" applyFill="1" applyBorder="1" applyAlignment="1">
      <alignment horizontal="center" vertical="center" wrapText="1"/>
      <protection/>
    </xf>
    <xf numFmtId="0" fontId="4" fillId="30" borderId="25" xfId="55" applyFont="1" applyFill="1" applyBorder="1" applyAlignment="1">
      <alignment vertical="center" wrapText="1"/>
      <protection/>
    </xf>
    <xf numFmtId="3" fontId="11" fillId="30" borderId="14" xfId="55" applyNumberFormat="1" applyFont="1" applyFill="1" applyBorder="1" applyAlignment="1">
      <alignment horizontal="right" vertical="center" wrapText="1"/>
      <protection/>
    </xf>
    <xf numFmtId="3" fontId="11" fillId="3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36" borderId="0" xfId="0" applyNumberFormat="1" applyFont="1" applyFill="1" applyAlignment="1">
      <alignment vertical="center"/>
    </xf>
    <xf numFmtId="0" fontId="4" fillId="30" borderId="13" xfId="55" applyFont="1" applyFill="1" applyBorder="1" applyAlignment="1">
      <alignment horizontal="center" vertical="center" wrapText="1"/>
      <protection/>
    </xf>
    <xf numFmtId="0" fontId="4" fillId="30" borderId="13" xfId="55" applyFont="1" applyFill="1" applyBorder="1" applyAlignment="1">
      <alignment vertical="center" wrapText="1"/>
      <protection/>
    </xf>
    <xf numFmtId="3" fontId="11" fillId="30" borderId="17" xfId="55" applyNumberFormat="1" applyFont="1" applyFill="1" applyBorder="1" applyAlignment="1">
      <alignment horizontal="right" vertical="center" wrapText="1"/>
      <protection/>
    </xf>
    <xf numFmtId="3" fontId="11" fillId="30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19" borderId="10" xfId="55" applyNumberFormat="1" applyFont="1" applyFill="1" applyBorder="1" applyAlignment="1" applyProtection="1">
      <alignment horizontal="center" vertical="center" wrapText="1"/>
      <protection/>
    </xf>
    <xf numFmtId="0" fontId="4" fillId="19" borderId="10" xfId="55" applyFont="1" applyFill="1" applyBorder="1" applyAlignment="1">
      <alignment horizontal="center" vertical="center" wrapText="1"/>
      <protection/>
    </xf>
    <xf numFmtId="0" fontId="4" fillId="19" borderId="16" xfId="55" applyFont="1" applyFill="1" applyBorder="1" applyAlignment="1">
      <alignment vertical="center" wrapText="1"/>
      <protection/>
    </xf>
    <xf numFmtId="3" fontId="11" fillId="19" borderId="10" xfId="55" applyNumberFormat="1" applyFont="1" applyFill="1" applyBorder="1" applyAlignment="1">
      <alignment horizontal="right" vertical="center" wrapText="1"/>
      <protection/>
    </xf>
    <xf numFmtId="3" fontId="11" fillId="19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0" applyNumberFormat="1" applyFont="1" applyFill="1" applyBorder="1" applyAlignment="1">
      <alignment horizontal="right" vertical="center" wrapText="1"/>
    </xf>
    <xf numFmtId="3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 applyProtection="1">
      <alignment horizontal="center" vertical="center" wrapText="1"/>
      <protection/>
    </xf>
    <xf numFmtId="3" fontId="10" fillId="37" borderId="10" xfId="55" applyNumberFormat="1" applyFont="1" applyFill="1" applyBorder="1" applyAlignment="1">
      <alignment horizontal="right" vertical="center" wrapText="1"/>
      <protection/>
    </xf>
    <xf numFmtId="3" fontId="10" fillId="37" borderId="10" xfId="0" applyNumberFormat="1" applyFont="1" applyFill="1" applyBorder="1" applyAlignment="1">
      <alignment horizontal="right" vertical="center" wrapText="1"/>
    </xf>
    <xf numFmtId="0" fontId="3" fillId="37" borderId="16" xfId="55" applyFont="1" applyFill="1" applyBorder="1" applyAlignment="1">
      <alignment vertical="center" wrapText="1"/>
      <protection/>
    </xf>
    <xf numFmtId="3" fontId="10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7" borderId="22" xfId="55" applyNumberFormat="1" applyFont="1" applyFill="1" applyBorder="1" applyAlignment="1" applyProtection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 wrapText="1"/>
      <protection/>
    </xf>
    <xf numFmtId="49" fontId="4" fillId="37" borderId="16" xfId="55" applyNumberFormat="1" applyFont="1" applyFill="1" applyBorder="1" applyAlignment="1">
      <alignment vertical="center" wrapText="1"/>
      <protection/>
    </xf>
    <xf numFmtId="3" fontId="11" fillId="37" borderId="10" xfId="55" applyNumberFormat="1" applyFont="1" applyFill="1" applyBorder="1" applyAlignment="1">
      <alignment horizontal="right" vertical="center" wrapText="1"/>
      <protection/>
    </xf>
    <xf numFmtId="3" fontId="11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7" borderId="16" xfId="55" applyFont="1" applyFill="1" applyBorder="1" applyAlignment="1">
      <alignment vertical="center" wrapText="1"/>
      <protection/>
    </xf>
    <xf numFmtId="0" fontId="3" fillId="37" borderId="16" xfId="55" applyFont="1" applyFill="1" applyBorder="1" applyAlignment="1">
      <alignment horizontal="center" vertical="center" wrapText="1"/>
      <protection/>
    </xf>
    <xf numFmtId="0" fontId="4" fillId="37" borderId="16" xfId="55" applyFont="1" applyFill="1" applyBorder="1" applyAlignment="1">
      <alignment horizontal="left" vertical="center" wrapText="1"/>
      <protection/>
    </xf>
    <xf numFmtId="49" fontId="3" fillId="37" borderId="10" xfId="55" applyNumberFormat="1" applyFont="1" applyFill="1" applyBorder="1" applyAlignment="1" applyProtection="1">
      <alignment horizontal="center" vertical="center" wrapText="1"/>
      <protection/>
    </xf>
    <xf numFmtId="0" fontId="3" fillId="37" borderId="10" xfId="55" applyFont="1" applyFill="1" applyBorder="1" applyAlignment="1">
      <alignment horizontal="left" vertical="center" wrapText="1"/>
      <protection/>
    </xf>
    <xf numFmtId="49" fontId="4" fillId="19" borderId="22" xfId="55" applyNumberFormat="1" applyFont="1" applyFill="1" applyBorder="1" applyAlignment="1" applyProtection="1">
      <alignment horizontal="center" vertical="center" wrapText="1"/>
      <protection/>
    </xf>
    <xf numFmtId="0" fontId="3" fillId="37" borderId="21" xfId="55" applyFont="1" applyFill="1" applyBorder="1" applyAlignment="1">
      <alignment horizontal="center" vertical="center" wrapText="1"/>
      <protection/>
    </xf>
    <xf numFmtId="3" fontId="10" fillId="37" borderId="13" xfId="55" applyNumberFormat="1" applyFont="1" applyFill="1" applyBorder="1" applyAlignment="1">
      <alignment horizontal="right" vertical="center" wrapText="1"/>
      <protection/>
    </xf>
    <xf numFmtId="3" fontId="10" fillId="37" borderId="13" xfId="0" applyNumberFormat="1" applyFont="1" applyFill="1" applyBorder="1" applyAlignment="1" applyProtection="1">
      <alignment horizontal="right" vertical="center" wrapText="1"/>
      <protection locked="0"/>
    </xf>
    <xf numFmtId="3" fontId="10" fillId="37" borderId="13" xfId="55" applyNumberFormat="1" applyFont="1" applyFill="1" applyBorder="1" applyAlignment="1" applyProtection="1">
      <alignment horizontal="right" vertical="center" wrapText="1"/>
      <protection locked="0"/>
    </xf>
    <xf numFmtId="0" fontId="4" fillId="37" borderId="21" xfId="55" applyFont="1" applyFill="1" applyBorder="1" applyAlignment="1">
      <alignment horizontal="center" vertical="center" wrapText="1"/>
      <protection/>
    </xf>
    <xf numFmtId="0" fontId="2" fillId="19" borderId="10" xfId="0" applyFont="1" applyFill="1" applyBorder="1" applyAlignment="1">
      <alignment vertical="center" wrapText="1"/>
    </xf>
    <xf numFmtId="49" fontId="4" fillId="37" borderId="15" xfId="55" applyNumberFormat="1" applyFont="1" applyFill="1" applyBorder="1" applyAlignment="1" applyProtection="1">
      <alignment horizontal="center" vertical="center" wrapText="1"/>
      <protection/>
    </xf>
    <xf numFmtId="0" fontId="4" fillId="37" borderId="14" xfId="55" applyFont="1" applyFill="1" applyBorder="1" applyAlignment="1">
      <alignment horizontal="center" vertical="center" wrapText="1"/>
      <protection/>
    </xf>
    <xf numFmtId="0" fontId="4" fillId="37" borderId="15" xfId="55" applyFont="1" applyFill="1" applyBorder="1" applyAlignment="1">
      <alignment horizontal="left" vertical="center" wrapText="1"/>
      <protection/>
    </xf>
    <xf numFmtId="3" fontId="11" fillId="37" borderId="14" xfId="55" applyNumberFormat="1" applyFont="1" applyFill="1" applyBorder="1" applyAlignment="1">
      <alignment horizontal="right" vertical="center" wrapText="1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37" borderId="22" xfId="55" applyNumberFormat="1" applyFont="1" applyFill="1" applyBorder="1" applyAlignment="1">
      <alignment horizontal="center" vertical="center"/>
      <protection/>
    </xf>
    <xf numFmtId="49" fontId="3" fillId="37" borderId="24" xfId="55" applyNumberFormat="1" applyFont="1" applyFill="1" applyBorder="1" applyAlignment="1">
      <alignment horizontal="center" vertical="center" wrapText="1"/>
      <protection/>
    </xf>
    <xf numFmtId="0" fontId="4" fillId="0" borderId="31" xfId="55" applyFont="1" applyFill="1" applyBorder="1" applyAlignment="1">
      <alignment vertical="center"/>
      <protection/>
    </xf>
    <xf numFmtId="49" fontId="3" fillId="0" borderId="32" xfId="55" applyNumberFormat="1" applyFont="1" applyFill="1" applyBorder="1" applyAlignment="1" applyProtection="1">
      <alignment horizontal="center" vertical="center" wrapText="1"/>
      <protection/>
    </xf>
    <xf numFmtId="0" fontId="4" fillId="0" borderId="32" xfId="55" applyFont="1" applyFill="1" applyBorder="1" applyAlignment="1">
      <alignment vertical="center"/>
      <protection/>
    </xf>
    <xf numFmtId="49" fontId="3" fillId="0" borderId="33" xfId="55" applyNumberFormat="1" applyFont="1" applyFill="1" applyBorder="1" applyAlignment="1" applyProtection="1">
      <alignment horizontal="center" vertical="center" wrapText="1"/>
      <protection/>
    </xf>
    <xf numFmtId="49" fontId="3" fillId="0" borderId="16" xfId="55" applyNumberFormat="1" applyFont="1" applyFill="1" applyBorder="1" applyAlignment="1" applyProtection="1">
      <alignment horizontal="center" vertical="center" wrapText="1"/>
      <protection/>
    </xf>
    <xf numFmtId="49" fontId="3" fillId="0" borderId="15" xfId="55" applyNumberFormat="1" applyFont="1" applyFill="1" applyBorder="1" applyAlignment="1" applyProtection="1">
      <alignment horizontal="center" vertical="center" wrapText="1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49" fontId="3" fillId="37" borderId="14" xfId="55" applyNumberFormat="1" applyFont="1" applyFill="1" applyBorder="1" applyAlignment="1" applyProtection="1">
      <alignment horizontal="center" vertical="center" wrapText="1"/>
      <protection/>
    </xf>
    <xf numFmtId="49" fontId="3" fillId="0" borderId="28" xfId="55" applyNumberFormat="1" applyFont="1" applyFill="1" applyBorder="1" applyAlignment="1" applyProtection="1">
      <alignment horizontal="center" vertical="center" wrapText="1"/>
      <protection/>
    </xf>
    <xf numFmtId="49" fontId="4" fillId="0" borderId="28" xfId="55" applyNumberFormat="1" applyFont="1" applyFill="1" applyBorder="1" applyAlignment="1" applyProtection="1">
      <alignment horizontal="center" vertical="center" wrapText="1"/>
      <protection/>
    </xf>
    <xf numFmtId="0" fontId="3" fillId="0" borderId="28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vertical="center"/>
      <protection/>
    </xf>
    <xf numFmtId="3" fontId="10" fillId="0" borderId="22" xfId="55" applyNumberFormat="1" applyFont="1" applyFill="1" applyBorder="1" applyAlignment="1">
      <alignment horizontal="right" vertical="center" wrapText="1"/>
      <protection/>
    </xf>
    <xf numFmtId="0" fontId="4" fillId="0" borderId="26" xfId="55" applyFont="1" applyFill="1" applyBorder="1" applyAlignment="1" applyProtection="1">
      <alignment horizontal="center" vertical="center" wrapText="1"/>
      <protection/>
    </xf>
    <xf numFmtId="0" fontId="4" fillId="0" borderId="14" xfId="55" applyFont="1" applyFill="1" applyBorder="1" applyAlignment="1">
      <alignment vertical="center" wrapText="1"/>
      <protection/>
    </xf>
    <xf numFmtId="0" fontId="3" fillId="0" borderId="28" xfId="55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>
      <alignment vertical="center" wrapText="1"/>
    </xf>
    <xf numFmtId="0" fontId="4" fillId="37" borderId="24" xfId="55" applyFont="1" applyFill="1" applyBorder="1" applyAlignment="1" applyProtection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3" fontId="11" fillId="37" borderId="10" xfId="0" applyNumberFormat="1" applyFont="1" applyFill="1" applyBorder="1" applyAlignment="1">
      <alignment vertical="center"/>
    </xf>
    <xf numFmtId="0" fontId="4" fillId="37" borderId="22" xfId="55" applyFont="1" applyFill="1" applyBorder="1" applyAlignment="1">
      <alignment horizontal="center" vertical="center"/>
      <protection/>
    </xf>
    <xf numFmtId="3" fontId="14" fillId="37" borderId="1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4" fillId="0" borderId="10" xfId="55" applyFont="1" applyFill="1" applyBorder="1" applyAlignment="1">
      <alignment horizontal="center" vertical="center" textRotation="90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21" xfId="55" applyFont="1" applyFill="1" applyBorder="1" applyAlignment="1">
      <alignment horizontal="left" vertical="center" wrapText="1"/>
      <protection/>
    </xf>
    <xf numFmtId="0" fontId="3" fillId="0" borderId="15" xfId="55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3" fillId="0" borderId="15" xfId="55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left" vertical="center" wrapText="1"/>
      <protection/>
    </xf>
    <xf numFmtId="0" fontId="3" fillId="0" borderId="25" xfId="55" applyFont="1" applyFill="1" applyBorder="1" applyAlignment="1" applyProtection="1">
      <alignment horizontal="center" vertical="center" wrapText="1"/>
      <protection/>
    </xf>
    <xf numFmtId="0" fontId="3" fillId="0" borderId="18" xfId="55" applyFont="1" applyFill="1" applyBorder="1" applyAlignment="1" applyProtection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/>
      <protection/>
    </xf>
    <xf numFmtId="49" fontId="3" fillId="0" borderId="26" xfId="55" applyNumberFormat="1" applyFont="1" applyFill="1" applyBorder="1" applyAlignment="1" applyProtection="1">
      <alignment horizontal="center" vertical="center" wrapText="1"/>
      <protection/>
    </xf>
    <xf numFmtId="0" fontId="3" fillId="0" borderId="24" xfId="55" applyFont="1" applyFill="1" applyBorder="1" applyAlignment="1">
      <alignment horizontal="left" vertical="center" wrapText="1"/>
      <protection/>
    </xf>
    <xf numFmtId="0" fontId="4" fillId="0" borderId="26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left" vertical="center" wrapText="1"/>
      <protection/>
    </xf>
    <xf numFmtId="49" fontId="3" fillId="0" borderId="32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4" fillId="0" borderId="16" xfId="55" applyFont="1" applyFill="1" applyBorder="1" applyAlignment="1">
      <alignment horizontal="left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right" vertical="center" wrapText="1"/>
      <protection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37" borderId="10" xfId="55" applyFont="1" applyFill="1" applyBorder="1" applyAlignment="1">
      <alignment horizontal="left" vertical="center" wrapText="1"/>
      <protection/>
    </xf>
    <xf numFmtId="0" fontId="3" fillId="37" borderId="16" xfId="55" applyFont="1" applyFill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27" xfId="55" applyFont="1" applyFill="1" applyBorder="1" applyAlignment="1">
      <alignment horizontal="left" vertical="center" wrapText="1"/>
      <protection/>
    </xf>
    <xf numFmtId="0" fontId="3" fillId="37" borderId="13" xfId="55" applyFont="1" applyFill="1" applyBorder="1" applyAlignment="1">
      <alignment horizontal="left" vertical="center" wrapText="1"/>
      <protection/>
    </xf>
    <xf numFmtId="0" fontId="3" fillId="37" borderId="21" xfId="55" applyFont="1" applyFill="1" applyBorder="1" applyAlignment="1">
      <alignment horizontal="left" vertical="center" wrapText="1"/>
      <protection/>
    </xf>
    <xf numFmtId="0" fontId="3" fillId="37" borderId="35" xfId="55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8"/>
  <sheetViews>
    <sheetView tabSelected="1" zoomScale="82" zoomScaleNormal="82" zoomScalePageLayoutView="0" workbookViewId="0" topLeftCell="A1">
      <selection activeCell="I87" sqref="I87"/>
    </sheetView>
  </sheetViews>
  <sheetFormatPr defaultColWidth="11.57421875" defaultRowHeight="15"/>
  <cols>
    <col min="1" max="1" width="4.00390625" style="1" customWidth="1"/>
    <col min="2" max="2" width="8.57421875" style="1" customWidth="1"/>
    <col min="3" max="3" width="7.28125" style="1" customWidth="1"/>
    <col min="4" max="4" width="8.28125" style="1" customWidth="1"/>
    <col min="5" max="5" width="31.28125" style="2" customWidth="1"/>
    <col min="6" max="6" width="13.00390625" style="1" customWidth="1"/>
    <col min="7" max="7" width="10.421875" style="1" customWidth="1"/>
    <col min="8" max="8" width="12.7109375" style="1" customWidth="1"/>
    <col min="9" max="9" width="13.00390625" style="1" customWidth="1"/>
    <col min="10" max="10" width="11.140625" style="1" customWidth="1"/>
    <col min="11" max="12" width="13.00390625" style="1" customWidth="1"/>
    <col min="13" max="13" width="9.140625" style="1" customWidth="1"/>
    <col min="14" max="14" width="12.28125" style="3" customWidth="1"/>
    <col min="15" max="15" width="13.00390625" style="1" customWidth="1"/>
    <col min="16" max="16" width="12.140625" style="1" customWidth="1"/>
    <col min="17" max="17" width="12.421875" style="1" customWidth="1"/>
    <col min="18" max="18" width="10.7109375" style="3" customWidth="1"/>
    <col min="19" max="19" width="12.8515625" style="3" customWidth="1"/>
    <col min="20" max="24" width="9.140625" style="1" customWidth="1"/>
    <col min="25" max="25" width="12.57421875" style="1" customWidth="1"/>
    <col min="26" max="237" width="9.140625" style="1" customWidth="1"/>
    <col min="238" max="16384" width="11.57421875" style="193" customWidth="1"/>
  </cols>
  <sheetData>
    <row r="1" spans="1:13" s="3" customFormat="1" ht="29.25" customHeight="1">
      <c r="A1" s="4" t="s">
        <v>0</v>
      </c>
      <c r="B1" s="5"/>
      <c r="C1" s="5"/>
      <c r="D1" s="5"/>
      <c r="E1" s="6"/>
      <c r="F1" s="1"/>
      <c r="G1" s="1"/>
      <c r="H1" s="1"/>
      <c r="I1" s="1"/>
      <c r="J1" s="1"/>
      <c r="K1" s="1"/>
      <c r="L1" s="1"/>
      <c r="M1" s="1"/>
    </row>
    <row r="2" spans="1:13" s="3" customFormat="1" ht="12">
      <c r="A2" s="7"/>
      <c r="B2" s="5"/>
      <c r="C2" s="5"/>
      <c r="D2" s="5"/>
      <c r="E2" s="6"/>
      <c r="F2" s="1"/>
      <c r="G2" s="1"/>
      <c r="H2" s="1"/>
      <c r="I2" s="1"/>
      <c r="J2" s="1"/>
      <c r="K2" s="1"/>
      <c r="L2" s="1"/>
      <c r="M2" s="1"/>
    </row>
    <row r="3" spans="1:13" s="3" customFormat="1" ht="27" customHeight="1">
      <c r="A3" s="141" t="s">
        <v>451</v>
      </c>
      <c r="B3" s="8"/>
      <c r="C3" s="8"/>
      <c r="D3" s="8"/>
      <c r="E3" s="8"/>
      <c r="F3" s="9"/>
      <c r="G3" s="9"/>
      <c r="H3" s="9"/>
      <c r="I3" s="1"/>
      <c r="J3" s="1"/>
      <c r="K3" s="1"/>
      <c r="L3" s="1"/>
      <c r="M3" s="1"/>
    </row>
    <row r="4" spans="1:13" s="3" customFormat="1" ht="21.75" customHeight="1">
      <c r="A4" s="5"/>
      <c r="B4" s="5"/>
      <c r="C4" s="5"/>
      <c r="D4" s="5"/>
      <c r="E4" s="6"/>
      <c r="F4" s="1"/>
      <c r="G4" s="1"/>
      <c r="H4" s="1"/>
      <c r="I4" s="1"/>
      <c r="J4" s="1"/>
      <c r="K4" s="1"/>
      <c r="L4" s="1"/>
      <c r="M4" s="1"/>
    </row>
    <row r="5" spans="1:13" s="3" customFormat="1" ht="28.5" customHeight="1">
      <c r="A5" s="10" t="s">
        <v>1</v>
      </c>
      <c r="B5" s="5"/>
      <c r="C5" s="5"/>
      <c r="D5" s="5"/>
      <c r="E5" s="6"/>
      <c r="F5" s="1"/>
      <c r="G5" s="1"/>
      <c r="H5" s="1"/>
      <c r="I5" s="1"/>
      <c r="J5" s="1"/>
      <c r="K5" s="1"/>
      <c r="L5" s="1"/>
      <c r="M5" s="1"/>
    </row>
    <row r="6" spans="1:17" s="3" customFormat="1" ht="12" customHeight="1">
      <c r="A6" s="300" t="s">
        <v>2</v>
      </c>
      <c r="B6" s="301" t="s">
        <v>3</v>
      </c>
      <c r="C6" s="300" t="s">
        <v>4</v>
      </c>
      <c r="D6" s="301" t="s">
        <v>5</v>
      </c>
      <c r="E6" s="301" t="s">
        <v>6</v>
      </c>
      <c r="F6" s="301" t="s">
        <v>7</v>
      </c>
      <c r="G6" s="301"/>
      <c r="H6" s="301"/>
      <c r="I6" s="301"/>
      <c r="J6" s="301"/>
      <c r="K6" s="301"/>
      <c r="L6" s="302" t="s">
        <v>454</v>
      </c>
      <c r="M6" s="303"/>
      <c r="N6" s="303"/>
      <c r="O6" s="303"/>
      <c r="P6" s="303"/>
      <c r="Q6" s="304"/>
    </row>
    <row r="7" spans="1:17" s="3" customFormat="1" ht="12" customHeight="1">
      <c r="A7" s="300"/>
      <c r="B7" s="301"/>
      <c r="C7" s="300"/>
      <c r="D7" s="301"/>
      <c r="E7" s="301"/>
      <c r="F7" s="305" t="s">
        <v>8</v>
      </c>
      <c r="G7" s="306" t="s">
        <v>9</v>
      </c>
      <c r="H7" s="306"/>
      <c r="I7" s="306"/>
      <c r="J7" s="306" t="s">
        <v>11</v>
      </c>
      <c r="K7" s="301" t="s">
        <v>10</v>
      </c>
      <c r="L7" s="305" t="s">
        <v>8</v>
      </c>
      <c r="M7" s="306" t="s">
        <v>9</v>
      </c>
      <c r="N7" s="306"/>
      <c r="O7" s="306"/>
      <c r="P7" s="306" t="s">
        <v>11</v>
      </c>
      <c r="Q7" s="301" t="s">
        <v>10</v>
      </c>
    </row>
    <row r="8" spans="1:19" s="3" customFormat="1" ht="53.25" customHeight="1">
      <c r="A8" s="300"/>
      <c r="B8" s="301"/>
      <c r="C8" s="300"/>
      <c r="D8" s="301"/>
      <c r="E8" s="301"/>
      <c r="F8" s="305"/>
      <c r="G8" s="12" t="s">
        <v>12</v>
      </c>
      <c r="H8" s="11" t="s">
        <v>13</v>
      </c>
      <c r="I8" s="11" t="s">
        <v>14</v>
      </c>
      <c r="J8" s="306"/>
      <c r="K8" s="301"/>
      <c r="L8" s="305"/>
      <c r="M8" s="12" t="s">
        <v>12</v>
      </c>
      <c r="N8" s="11" t="s">
        <v>13</v>
      </c>
      <c r="O8" s="11" t="s">
        <v>14</v>
      </c>
      <c r="P8" s="306"/>
      <c r="Q8" s="306"/>
      <c r="R8" s="201" t="s">
        <v>456</v>
      </c>
      <c r="S8" s="201" t="s">
        <v>457</v>
      </c>
    </row>
    <row r="9" spans="1:17" s="3" customFormat="1" ht="12" customHeight="1" thickBot="1">
      <c r="A9" s="194">
        <v>0</v>
      </c>
      <c r="B9" s="194">
        <v>1</v>
      </c>
      <c r="C9" s="194">
        <v>2</v>
      </c>
      <c r="D9" s="194">
        <v>3</v>
      </c>
      <c r="E9" s="195">
        <v>4</v>
      </c>
      <c r="F9" s="194" t="s">
        <v>452</v>
      </c>
      <c r="G9" s="194">
        <v>6</v>
      </c>
      <c r="H9" s="194">
        <v>7</v>
      </c>
      <c r="I9" s="194">
        <v>8</v>
      </c>
      <c r="J9" s="194">
        <v>9</v>
      </c>
      <c r="K9" s="194">
        <v>10</v>
      </c>
      <c r="L9" s="14" t="s">
        <v>453</v>
      </c>
      <c r="M9" s="15">
        <v>12</v>
      </c>
      <c r="N9" s="16">
        <v>13</v>
      </c>
      <c r="O9" s="16">
        <v>14</v>
      </c>
      <c r="P9" s="16">
        <v>15</v>
      </c>
      <c r="Q9" s="16">
        <v>16</v>
      </c>
    </row>
    <row r="10" spans="1:17" s="3" customFormat="1" ht="35.25" customHeight="1" thickBot="1" thickTop="1">
      <c r="A10" s="17" t="s">
        <v>15</v>
      </c>
      <c r="B10" s="18" t="s">
        <v>16</v>
      </c>
      <c r="C10" s="18"/>
      <c r="D10" s="307" t="s">
        <v>17</v>
      </c>
      <c r="E10" s="307"/>
      <c r="F10" s="19">
        <f>+F11+F13+F18+F16</f>
        <v>30745000</v>
      </c>
      <c r="G10" s="20">
        <f>+G13+G18</f>
        <v>0</v>
      </c>
      <c r="H10" s="19">
        <f>+H13+H18</f>
        <v>0</v>
      </c>
      <c r="I10" s="21">
        <f>+I13+I18+I12</f>
        <v>1000000</v>
      </c>
      <c r="J10" s="21">
        <f>+J16</f>
        <v>8000000</v>
      </c>
      <c r="K10" s="19">
        <f>+K11+K13+K18+K16</f>
        <v>21745000</v>
      </c>
      <c r="L10" s="19">
        <f>+L11+L13+L18+L16</f>
        <v>30745000</v>
      </c>
      <c r="M10" s="20">
        <f>+M13+M18</f>
        <v>0</v>
      </c>
      <c r="N10" s="19">
        <f>+N13+N18</f>
        <v>0</v>
      </c>
      <c r="O10" s="21">
        <f>+O13+O18+O12</f>
        <v>1000000</v>
      </c>
      <c r="P10" s="21">
        <f>+P16</f>
        <v>8000000</v>
      </c>
      <c r="Q10" s="19">
        <f>+Q11+Q13+Q18+Q16</f>
        <v>21745000</v>
      </c>
    </row>
    <row r="11" spans="1:17" s="3" customFormat="1" ht="28.5" customHeight="1" thickTop="1">
      <c r="A11" s="22">
        <v>1</v>
      </c>
      <c r="B11" s="23" t="s">
        <v>150</v>
      </c>
      <c r="C11" s="24"/>
      <c r="D11" s="308" t="s">
        <v>18</v>
      </c>
      <c r="E11" s="308"/>
      <c r="F11" s="26">
        <f>SUM(G11:K11)</f>
        <v>1000000</v>
      </c>
      <c r="G11" s="27"/>
      <c r="H11" s="26"/>
      <c r="I11" s="28">
        <f>+I12</f>
        <v>1000000</v>
      </c>
      <c r="J11" s="28"/>
      <c r="K11" s="26">
        <f>+K12</f>
        <v>0</v>
      </c>
      <c r="L11" s="26">
        <f>SUM(M11:Q11)</f>
        <v>1000000</v>
      </c>
      <c r="M11" s="27"/>
      <c r="N11" s="26"/>
      <c r="O11" s="28">
        <f>+O12</f>
        <v>1000000</v>
      </c>
      <c r="P11" s="28"/>
      <c r="Q11" s="26">
        <f>+Q12</f>
        <v>0</v>
      </c>
    </row>
    <row r="12" spans="1:17" s="3" customFormat="1" ht="24.75" customHeight="1" hidden="1">
      <c r="A12" s="29"/>
      <c r="B12" s="30"/>
      <c r="C12" s="31"/>
      <c r="D12" s="11">
        <v>741411</v>
      </c>
      <c r="E12" s="32" t="s">
        <v>19</v>
      </c>
      <c r="F12" s="33">
        <f>SUM(G12:K12)</f>
        <v>1000000</v>
      </c>
      <c r="G12" s="34"/>
      <c r="H12" s="33"/>
      <c r="I12" s="35">
        <v>1000000</v>
      </c>
      <c r="J12" s="35"/>
      <c r="K12" s="33"/>
      <c r="L12" s="33">
        <f>SUM(M12:Q12)</f>
        <v>1000000</v>
      </c>
      <c r="M12" s="34"/>
      <c r="N12" s="33"/>
      <c r="O12" s="35">
        <v>1000000</v>
      </c>
      <c r="P12" s="35"/>
      <c r="Q12" s="33"/>
    </row>
    <row r="13" spans="1:17" s="3" customFormat="1" ht="24" customHeight="1">
      <c r="A13" s="29">
        <v>2</v>
      </c>
      <c r="B13" s="36">
        <v>742000</v>
      </c>
      <c r="C13" s="37"/>
      <c r="D13" s="309" t="s">
        <v>20</v>
      </c>
      <c r="E13" s="309"/>
      <c r="F13" s="33">
        <f>+G13+H13+I13+K13</f>
        <v>21600000</v>
      </c>
      <c r="G13" s="34">
        <f>+G14</f>
        <v>0</v>
      </c>
      <c r="H13" s="33"/>
      <c r="I13" s="38"/>
      <c r="J13" s="38"/>
      <c r="K13" s="33">
        <f>+K14+K15</f>
        <v>21600000</v>
      </c>
      <c r="L13" s="33">
        <f>+M13+N13+O13+Q13</f>
        <v>21600000</v>
      </c>
      <c r="M13" s="34">
        <f>+M14</f>
        <v>0</v>
      </c>
      <c r="N13" s="33"/>
      <c r="O13" s="38"/>
      <c r="P13" s="38"/>
      <c r="Q13" s="33">
        <f>+Q14+Q15</f>
        <v>21600000</v>
      </c>
    </row>
    <row r="14" spans="1:17" s="3" customFormat="1" ht="24.75" customHeight="1" hidden="1">
      <c r="A14" s="310"/>
      <c r="B14" s="301"/>
      <c r="C14" s="301"/>
      <c r="D14" s="11" t="s">
        <v>22</v>
      </c>
      <c r="E14" s="32" t="s">
        <v>21</v>
      </c>
      <c r="F14" s="42">
        <f>+G14+H14+I14+K14</f>
        <v>21000000</v>
      </c>
      <c r="G14" s="43"/>
      <c r="H14" s="42"/>
      <c r="I14" s="35"/>
      <c r="J14" s="35"/>
      <c r="K14" s="42">
        <v>21000000</v>
      </c>
      <c r="L14" s="42">
        <f>+M14+N14+O14+Q14</f>
        <v>21000000</v>
      </c>
      <c r="M14" s="43"/>
      <c r="N14" s="42"/>
      <c r="O14" s="35"/>
      <c r="P14" s="35"/>
      <c r="Q14" s="42">
        <v>21000000</v>
      </c>
    </row>
    <row r="15" spans="1:17" s="3" customFormat="1" ht="24.75" customHeight="1" hidden="1">
      <c r="A15" s="310"/>
      <c r="B15" s="301"/>
      <c r="C15" s="301"/>
      <c r="D15" s="41">
        <v>742122</v>
      </c>
      <c r="E15" s="32" t="s">
        <v>23</v>
      </c>
      <c r="F15" s="42">
        <f>+G15+H15+I15+K15</f>
        <v>600000</v>
      </c>
      <c r="G15" s="43"/>
      <c r="H15" s="42"/>
      <c r="I15" s="35"/>
      <c r="J15" s="35"/>
      <c r="K15" s="42">
        <v>600000</v>
      </c>
      <c r="L15" s="42">
        <f>+M15+N15+O15+Q15</f>
        <v>600000</v>
      </c>
      <c r="M15" s="43"/>
      <c r="N15" s="42"/>
      <c r="O15" s="35"/>
      <c r="P15" s="35"/>
      <c r="Q15" s="42">
        <v>600000</v>
      </c>
    </row>
    <row r="16" spans="1:17" s="3" customFormat="1" ht="24.75" customHeight="1">
      <c r="A16" s="29">
        <v>3</v>
      </c>
      <c r="B16" s="36">
        <v>744000</v>
      </c>
      <c r="C16" s="11"/>
      <c r="D16" s="309" t="s">
        <v>24</v>
      </c>
      <c r="E16" s="309"/>
      <c r="F16" s="33">
        <f>+J16</f>
        <v>8000000</v>
      </c>
      <c r="G16" s="34">
        <v>0</v>
      </c>
      <c r="H16" s="33">
        <v>0</v>
      </c>
      <c r="I16" s="38"/>
      <c r="J16" s="38">
        <f>+J17</f>
        <v>8000000</v>
      </c>
      <c r="K16" s="33">
        <f>+K17</f>
        <v>0</v>
      </c>
      <c r="L16" s="33">
        <f>+P16</f>
        <v>8000000</v>
      </c>
      <c r="M16" s="34">
        <v>0</v>
      </c>
      <c r="N16" s="33">
        <v>0</v>
      </c>
      <c r="O16" s="38"/>
      <c r="P16" s="38">
        <f>+P17</f>
        <v>8000000</v>
      </c>
      <c r="Q16" s="33">
        <f>+Q17</f>
        <v>0</v>
      </c>
    </row>
    <row r="17" spans="1:17" s="3" customFormat="1" ht="24.75" customHeight="1" hidden="1">
      <c r="A17" s="29"/>
      <c r="B17" s="11"/>
      <c r="C17" s="11"/>
      <c r="D17" s="41">
        <v>7442611</v>
      </c>
      <c r="E17" s="32" t="s">
        <v>25</v>
      </c>
      <c r="F17" s="42">
        <f>+J17</f>
        <v>8000000</v>
      </c>
      <c r="G17" s="43"/>
      <c r="H17" s="42"/>
      <c r="I17" s="35"/>
      <c r="J17" s="35">
        <v>8000000</v>
      </c>
      <c r="K17" s="42"/>
      <c r="L17" s="42">
        <f>+P17</f>
        <v>8000000</v>
      </c>
      <c r="M17" s="43"/>
      <c r="N17" s="42"/>
      <c r="O17" s="35"/>
      <c r="P17" s="35">
        <v>8000000</v>
      </c>
      <c r="Q17" s="42"/>
    </row>
    <row r="18" spans="1:17" s="3" customFormat="1" ht="25.5" customHeight="1" thickBot="1">
      <c r="A18" s="29">
        <v>4</v>
      </c>
      <c r="B18" s="36">
        <v>745000</v>
      </c>
      <c r="C18" s="37"/>
      <c r="D18" s="309" t="s">
        <v>26</v>
      </c>
      <c r="E18" s="309"/>
      <c r="F18" s="33">
        <f>SUM(G18:K18)</f>
        <v>145000</v>
      </c>
      <c r="G18" s="34">
        <f>+G19</f>
        <v>0</v>
      </c>
      <c r="H18" s="34">
        <f>+H19</f>
        <v>0</v>
      </c>
      <c r="I18" s="38"/>
      <c r="J18" s="38"/>
      <c r="K18" s="33">
        <f>+K19</f>
        <v>145000</v>
      </c>
      <c r="L18" s="33">
        <f>SUM(M18:Q18)</f>
        <v>145000</v>
      </c>
      <c r="M18" s="34">
        <f>+M19</f>
        <v>0</v>
      </c>
      <c r="N18" s="34">
        <f>+N19</f>
        <v>0</v>
      </c>
      <c r="O18" s="38"/>
      <c r="P18" s="38"/>
      <c r="Q18" s="33">
        <f>+Q19</f>
        <v>145000</v>
      </c>
    </row>
    <row r="19" spans="1:17" s="3" customFormat="1" ht="24.75" customHeight="1" hidden="1" thickBot="1">
      <c r="A19" s="39"/>
      <c r="B19" s="44"/>
      <c r="C19" s="44"/>
      <c r="D19" s="13" t="s">
        <v>151</v>
      </c>
      <c r="E19" s="45" t="s">
        <v>27</v>
      </c>
      <c r="F19" s="46">
        <f>SUM(G19:K19)</f>
        <v>145000</v>
      </c>
      <c r="G19" s="47"/>
      <c r="H19" s="46"/>
      <c r="I19" s="48"/>
      <c r="J19" s="48"/>
      <c r="K19" s="46">
        <v>145000</v>
      </c>
      <c r="L19" s="46">
        <f>SUM(M19:Q19)</f>
        <v>145000</v>
      </c>
      <c r="M19" s="47"/>
      <c r="N19" s="46"/>
      <c r="O19" s="48"/>
      <c r="P19" s="48"/>
      <c r="Q19" s="46">
        <v>145000</v>
      </c>
    </row>
    <row r="20" spans="1:17" s="3" customFormat="1" ht="30" customHeight="1" thickBot="1" thickTop="1">
      <c r="A20" s="49" t="s">
        <v>28</v>
      </c>
      <c r="B20" s="50">
        <v>770000</v>
      </c>
      <c r="C20" s="51"/>
      <c r="D20" s="311" t="s">
        <v>29</v>
      </c>
      <c r="E20" s="311"/>
      <c r="F20" s="19">
        <f>+G20+H20+I20+K20</f>
        <v>7787477.459999999</v>
      </c>
      <c r="G20" s="19">
        <f>+G21</f>
        <v>1484.59</v>
      </c>
      <c r="H20" s="19">
        <f>+H21</f>
        <v>4874528.09</v>
      </c>
      <c r="I20" s="21">
        <f>+I21</f>
        <v>2911464.78</v>
      </c>
      <c r="J20" s="21"/>
      <c r="K20" s="19">
        <f>+K21</f>
        <v>0</v>
      </c>
      <c r="L20" s="19">
        <f>+M20+N20+O20+Q20</f>
        <v>7787477.459999999</v>
      </c>
      <c r="M20" s="19">
        <f>+M21</f>
        <v>1484.59</v>
      </c>
      <c r="N20" s="19">
        <f>+N21</f>
        <v>4874528.09</v>
      </c>
      <c r="O20" s="21">
        <f>+O21</f>
        <v>2911464.78</v>
      </c>
      <c r="P20" s="21"/>
      <c r="Q20" s="19">
        <f>+Q21</f>
        <v>0</v>
      </c>
    </row>
    <row r="21" spans="1:17" s="3" customFormat="1" ht="24.75" customHeight="1" hidden="1" thickBot="1" thickTop="1">
      <c r="A21" s="49"/>
      <c r="B21" s="50"/>
      <c r="C21" s="51"/>
      <c r="D21" s="52">
        <v>771111</v>
      </c>
      <c r="E21" s="53" t="s">
        <v>30</v>
      </c>
      <c r="F21" s="54">
        <f>+G21+H21+I21</f>
        <v>7787477.459999999</v>
      </c>
      <c r="G21" s="55">
        <v>1484.59</v>
      </c>
      <c r="H21" s="54">
        <v>4874528.09</v>
      </c>
      <c r="I21" s="56">
        <v>2911464.78</v>
      </c>
      <c r="J21" s="56"/>
      <c r="K21" s="26"/>
      <c r="L21" s="54">
        <f>+M21+N21+O21</f>
        <v>7787477.459999999</v>
      </c>
      <c r="M21" s="55">
        <v>1484.59</v>
      </c>
      <c r="N21" s="54">
        <v>4874528.09</v>
      </c>
      <c r="O21" s="56">
        <v>2911464.78</v>
      </c>
      <c r="P21" s="56"/>
      <c r="Q21" s="26"/>
    </row>
    <row r="22" spans="1:17" s="3" customFormat="1" ht="35.25" customHeight="1" thickBot="1" thickTop="1">
      <c r="A22" s="17" t="s">
        <v>31</v>
      </c>
      <c r="B22" s="57" t="s">
        <v>152</v>
      </c>
      <c r="C22" s="57"/>
      <c r="D22" s="307" t="s">
        <v>32</v>
      </c>
      <c r="E22" s="307"/>
      <c r="F22" s="19">
        <f>SUM(G22:K22)</f>
        <v>638457719.56</v>
      </c>
      <c r="G22" s="58"/>
      <c r="H22" s="58"/>
      <c r="I22" s="59">
        <f>525437000+87579000+2346263+1726048.89+5925991.67+118473+2600000+12724943</f>
        <v>638457719.56</v>
      </c>
      <c r="J22" s="59"/>
      <c r="K22" s="58"/>
      <c r="L22" s="19">
        <f>SUM(M22:Q22)</f>
        <v>635661719.56</v>
      </c>
      <c r="M22" s="58"/>
      <c r="N22" s="58"/>
      <c r="O22" s="59">
        <f>525437000+84783000+2346263+1726048.89+5925991.67+118473+2600000+12724943</f>
        <v>635661719.56</v>
      </c>
      <c r="P22" s="59"/>
      <c r="Q22" s="58"/>
    </row>
    <row r="23" spans="1:17" s="3" customFormat="1" ht="28.5" customHeight="1" thickBot="1" thickTop="1">
      <c r="A23" s="17" t="s">
        <v>33</v>
      </c>
      <c r="B23" s="60">
        <v>791111</v>
      </c>
      <c r="C23" s="61"/>
      <c r="D23" s="307" t="s">
        <v>34</v>
      </c>
      <c r="E23" s="307"/>
      <c r="F23" s="19">
        <f>SUM(G23:K23)</f>
        <v>18000000</v>
      </c>
      <c r="G23" s="58"/>
      <c r="H23" s="58">
        <f>16500000+1500000</f>
        <v>18000000</v>
      </c>
      <c r="I23" s="59"/>
      <c r="J23" s="59"/>
      <c r="K23" s="58"/>
      <c r="L23" s="19">
        <f>SUM(M23:Q23)</f>
        <v>18000000</v>
      </c>
      <c r="M23" s="58"/>
      <c r="N23" s="58">
        <f>16500000+1500000</f>
        <v>18000000</v>
      </c>
      <c r="O23" s="59"/>
      <c r="P23" s="59"/>
      <c r="Q23" s="58"/>
    </row>
    <row r="24" spans="1:17" s="3" customFormat="1" ht="26.25" customHeight="1" thickTop="1">
      <c r="A24" s="312" t="s">
        <v>35</v>
      </c>
      <c r="B24" s="312"/>
      <c r="C24" s="312"/>
      <c r="D24" s="312"/>
      <c r="E24" s="312"/>
      <c r="F24" s="62">
        <f>+G24+H24+I24+K24+J24</f>
        <v>694990197.0199999</v>
      </c>
      <c r="G24" s="62">
        <f>+G10+G22+G23+G21</f>
        <v>1484.59</v>
      </c>
      <c r="H24" s="62">
        <f>+H10+H22+H23+H21</f>
        <v>22874528.09</v>
      </c>
      <c r="I24" s="62">
        <f>+I10+I22+I23+I20</f>
        <v>642369184.3399999</v>
      </c>
      <c r="J24" s="62">
        <f>+J10</f>
        <v>8000000</v>
      </c>
      <c r="K24" s="62">
        <f>+K10+K20</f>
        <v>21745000</v>
      </c>
      <c r="L24" s="62">
        <f>+M24+N24+O24+Q24+P24</f>
        <v>692194197.0199999</v>
      </c>
      <c r="M24" s="62">
        <f>+M10+M22+M23+M21</f>
        <v>1484.59</v>
      </c>
      <c r="N24" s="62">
        <f>+N10+N22+N23+N21</f>
        <v>22874528.09</v>
      </c>
      <c r="O24" s="62">
        <f>+O10+O22+O23+O20</f>
        <v>639573184.3399999</v>
      </c>
      <c r="P24" s="62">
        <f>+P10</f>
        <v>8000000</v>
      </c>
      <c r="Q24" s="62">
        <f>+Q10+Q20</f>
        <v>21745000</v>
      </c>
    </row>
    <row r="25" spans="1:13" s="3" customFormat="1" ht="9.75" customHeight="1">
      <c r="A25" s="63"/>
      <c r="B25" s="63"/>
      <c r="C25" s="63"/>
      <c r="D25" s="63"/>
      <c r="E25" s="63"/>
      <c r="F25" s="64"/>
      <c r="G25" s="64"/>
      <c r="H25" s="64"/>
      <c r="I25" s="64"/>
      <c r="J25" s="64"/>
      <c r="K25" s="64"/>
      <c r="L25" s="64"/>
      <c r="M25" s="1"/>
    </row>
    <row r="26" spans="1:13" s="3" customFormat="1" ht="4.5" customHeight="1">
      <c r="A26" s="63"/>
      <c r="B26" s="63"/>
      <c r="C26" s="63"/>
      <c r="D26" s="63"/>
      <c r="E26" s="63"/>
      <c r="F26" s="65"/>
      <c r="G26" s="65"/>
      <c r="H26" s="65"/>
      <c r="I26" s="65"/>
      <c r="J26" s="65"/>
      <c r="K26" s="65" t="s">
        <v>153</v>
      </c>
      <c r="L26" s="65"/>
      <c r="M26" s="1"/>
    </row>
    <row r="27" spans="1:13" s="3" customFormat="1" ht="21.75" customHeight="1">
      <c r="A27" s="10" t="s">
        <v>36</v>
      </c>
      <c r="B27" s="66"/>
      <c r="C27" s="66"/>
      <c r="D27" s="5"/>
      <c r="E27" s="6"/>
      <c r="F27" s="1"/>
      <c r="G27" s="1"/>
      <c r="H27" s="1"/>
      <c r="I27" s="1"/>
      <c r="J27" s="1"/>
      <c r="K27" s="1"/>
      <c r="L27" s="1"/>
      <c r="M27" s="1"/>
    </row>
    <row r="28" spans="1:17" s="3" customFormat="1" ht="12" customHeight="1">
      <c r="A28" s="300" t="s">
        <v>2</v>
      </c>
      <c r="B28" s="301" t="s">
        <v>37</v>
      </c>
      <c r="C28" s="300" t="s">
        <v>4</v>
      </c>
      <c r="D28" s="301" t="s">
        <v>5</v>
      </c>
      <c r="E28" s="301" t="s">
        <v>6</v>
      </c>
      <c r="F28" s="301" t="s">
        <v>38</v>
      </c>
      <c r="G28" s="301"/>
      <c r="H28" s="301"/>
      <c r="I28" s="301"/>
      <c r="J28" s="301"/>
      <c r="K28" s="301"/>
      <c r="L28" s="302" t="s">
        <v>455</v>
      </c>
      <c r="M28" s="303"/>
      <c r="N28" s="303"/>
      <c r="O28" s="303"/>
      <c r="P28" s="303"/>
      <c r="Q28" s="304"/>
    </row>
    <row r="29" spans="1:17" s="3" customFormat="1" ht="12" customHeight="1">
      <c r="A29" s="300"/>
      <c r="B29" s="301"/>
      <c r="C29" s="300"/>
      <c r="D29" s="301"/>
      <c r="E29" s="301"/>
      <c r="F29" s="305" t="s">
        <v>8</v>
      </c>
      <c r="G29" s="306" t="s">
        <v>39</v>
      </c>
      <c r="H29" s="306"/>
      <c r="I29" s="306"/>
      <c r="J29" s="306" t="s">
        <v>11</v>
      </c>
      <c r="K29" s="301" t="s">
        <v>10</v>
      </c>
      <c r="L29" s="305" t="s">
        <v>8</v>
      </c>
      <c r="M29" s="306" t="s">
        <v>39</v>
      </c>
      <c r="N29" s="306"/>
      <c r="O29" s="306"/>
      <c r="P29" s="306" t="s">
        <v>11</v>
      </c>
      <c r="Q29" s="301" t="s">
        <v>10</v>
      </c>
    </row>
    <row r="30" spans="1:19" s="3" customFormat="1" ht="42" customHeight="1">
      <c r="A30" s="300"/>
      <c r="B30" s="301"/>
      <c r="C30" s="300"/>
      <c r="D30" s="301"/>
      <c r="E30" s="301"/>
      <c r="F30" s="305"/>
      <c r="G30" s="12" t="s">
        <v>12</v>
      </c>
      <c r="H30" s="11" t="s">
        <v>13</v>
      </c>
      <c r="I30" s="11" t="s">
        <v>14</v>
      </c>
      <c r="J30" s="306"/>
      <c r="K30" s="301"/>
      <c r="L30" s="313"/>
      <c r="M30" s="196" t="s">
        <v>12</v>
      </c>
      <c r="N30" s="13" t="s">
        <v>13</v>
      </c>
      <c r="O30" s="13" t="s">
        <v>14</v>
      </c>
      <c r="P30" s="314"/>
      <c r="Q30" s="315"/>
      <c r="R30" s="201" t="s">
        <v>456</v>
      </c>
      <c r="S30" s="201" t="s">
        <v>457</v>
      </c>
    </row>
    <row r="31" spans="1:17" s="3" customFormat="1" ht="12" customHeight="1">
      <c r="A31" s="194">
        <v>0</v>
      </c>
      <c r="B31" s="194">
        <v>1</v>
      </c>
      <c r="C31" s="194">
        <v>2</v>
      </c>
      <c r="D31" s="194">
        <v>3</v>
      </c>
      <c r="E31" s="195">
        <v>4</v>
      </c>
      <c r="F31" s="194" t="s">
        <v>452</v>
      </c>
      <c r="G31" s="194">
        <v>6</v>
      </c>
      <c r="H31" s="194">
        <v>7</v>
      </c>
      <c r="I31" s="194">
        <v>8</v>
      </c>
      <c r="J31" s="194">
        <v>9</v>
      </c>
      <c r="K31" s="195">
        <v>10</v>
      </c>
      <c r="L31" s="198" t="s">
        <v>453</v>
      </c>
      <c r="M31" s="199">
        <v>12</v>
      </c>
      <c r="N31" s="200">
        <v>13</v>
      </c>
      <c r="O31" s="200">
        <v>14</v>
      </c>
      <c r="P31" s="200">
        <v>15</v>
      </c>
      <c r="Q31" s="200">
        <v>16</v>
      </c>
    </row>
    <row r="32" spans="1:17" s="3" customFormat="1" ht="21" customHeight="1" thickBot="1">
      <c r="A32" s="316" t="s">
        <v>40</v>
      </c>
      <c r="B32" s="316"/>
      <c r="C32" s="316"/>
      <c r="D32" s="316"/>
      <c r="E32" s="316"/>
      <c r="F32" s="67"/>
      <c r="G32" s="67"/>
      <c r="H32" s="67"/>
      <c r="I32" s="67"/>
      <c r="J32" s="67"/>
      <c r="K32" s="67"/>
      <c r="L32" s="197"/>
      <c r="M32" s="197"/>
      <c r="N32" s="197"/>
      <c r="O32" s="197"/>
      <c r="P32" s="197"/>
      <c r="Q32" s="197"/>
    </row>
    <row r="33" spans="1:17" s="3" customFormat="1" ht="28.5" customHeight="1" thickBot="1" thickTop="1">
      <c r="A33" s="17" t="s">
        <v>15</v>
      </c>
      <c r="B33" s="142">
        <v>410000</v>
      </c>
      <c r="C33" s="142"/>
      <c r="D33" s="307" t="s">
        <v>41</v>
      </c>
      <c r="E33" s="307"/>
      <c r="F33" s="21">
        <f>SUM(G33:K33)</f>
        <v>522637754.02</v>
      </c>
      <c r="G33" s="21">
        <f>+G34+G36+G40+G43+G53+G57</f>
        <v>1484.59</v>
      </c>
      <c r="H33" s="21">
        <f>+H34+H36+H40+H43+H53+H57</f>
        <v>4874528.09</v>
      </c>
      <c r="I33" s="21">
        <f>+I34+I36+I40+I43+I53+I57</f>
        <v>508194741.34</v>
      </c>
      <c r="J33" s="21"/>
      <c r="K33" s="21">
        <f>+K34+K36+K40+K43+K53+K57</f>
        <v>9567000</v>
      </c>
      <c r="L33" s="21">
        <f>SUM(M33:Q33)</f>
        <v>522845253.63</v>
      </c>
      <c r="M33" s="21">
        <f>+M34+M36+M40+M43+M53+M57</f>
        <v>1484.59</v>
      </c>
      <c r="N33" s="21">
        <f>+N34+N36+N40+N43+N53+N57</f>
        <v>4874528.09</v>
      </c>
      <c r="O33" s="21">
        <f>+O34+O36+O40+O43+O53+O57</f>
        <v>508142241.34</v>
      </c>
      <c r="P33" s="21"/>
      <c r="Q33" s="21">
        <f>+Q34+Q36+Q40+Q43+Q53+Q57</f>
        <v>9826999.61</v>
      </c>
    </row>
    <row r="34" spans="1:17" s="3" customFormat="1" ht="30" customHeight="1" thickTop="1">
      <c r="A34" s="68">
        <v>1</v>
      </c>
      <c r="B34" s="69">
        <v>411000</v>
      </c>
      <c r="C34" s="70" t="s">
        <v>42</v>
      </c>
      <c r="D34" s="308" t="s">
        <v>43</v>
      </c>
      <c r="E34" s="308"/>
      <c r="F34" s="28">
        <f>SUM(G34:K34)</f>
        <v>413403729</v>
      </c>
      <c r="G34" s="71"/>
      <c r="H34" s="71"/>
      <c r="I34" s="28">
        <f>+I35</f>
        <v>407114500</v>
      </c>
      <c r="J34" s="28"/>
      <c r="K34" s="28">
        <f>+K35</f>
        <v>6289229</v>
      </c>
      <c r="L34" s="28">
        <f>SUM(M34:Q34)</f>
        <v>413403729</v>
      </c>
      <c r="M34" s="71"/>
      <c r="N34" s="71"/>
      <c r="O34" s="28">
        <f>+O35</f>
        <v>407114500</v>
      </c>
      <c r="P34" s="28"/>
      <c r="Q34" s="28">
        <f>+Q35</f>
        <v>6289229</v>
      </c>
    </row>
    <row r="35" spans="1:17" s="3" customFormat="1" ht="26.25" customHeight="1" hidden="1">
      <c r="A35" s="72"/>
      <c r="B35" s="73"/>
      <c r="C35" s="74" t="s">
        <v>44</v>
      </c>
      <c r="D35" s="11">
        <v>411100</v>
      </c>
      <c r="E35" s="32" t="s">
        <v>45</v>
      </c>
      <c r="F35" s="35">
        <f>SUM(G35:K35)</f>
        <v>413403729</v>
      </c>
      <c r="G35" s="75"/>
      <c r="H35" s="75"/>
      <c r="I35" s="75">
        <v>407114500</v>
      </c>
      <c r="J35" s="75"/>
      <c r="K35" s="75">
        <f>5168000+207000-150000+1064229</f>
        <v>6289229</v>
      </c>
      <c r="L35" s="35">
        <f>SUM(M35:Q35)</f>
        <v>413403729</v>
      </c>
      <c r="M35" s="75"/>
      <c r="N35" s="75"/>
      <c r="O35" s="75">
        <v>407114500</v>
      </c>
      <c r="P35" s="75"/>
      <c r="Q35" s="75">
        <f>5168000+207000-150000+1064229</f>
        <v>6289229</v>
      </c>
    </row>
    <row r="36" spans="1:17" s="3" customFormat="1" ht="30" customHeight="1">
      <c r="A36" s="76">
        <v>2</v>
      </c>
      <c r="B36" s="29">
        <v>412000</v>
      </c>
      <c r="C36" s="77" t="s">
        <v>46</v>
      </c>
      <c r="D36" s="325" t="s">
        <v>47</v>
      </c>
      <c r="E36" s="325"/>
      <c r="F36" s="38">
        <f>SUM(G36:K36)</f>
        <v>77048271</v>
      </c>
      <c r="G36" s="78"/>
      <c r="H36" s="38"/>
      <c r="I36" s="38">
        <f>+I37+I38+I39</f>
        <v>75765500</v>
      </c>
      <c r="J36" s="38"/>
      <c r="K36" s="38">
        <f>+K37+K38+K39</f>
        <v>1282770.9999999998</v>
      </c>
      <c r="L36" s="38">
        <f>SUM(M36:Q36)</f>
        <v>77048270.61</v>
      </c>
      <c r="M36" s="78"/>
      <c r="N36" s="38"/>
      <c r="O36" s="38">
        <f>+O37+O38+O39</f>
        <v>75765500</v>
      </c>
      <c r="P36" s="38"/>
      <c r="Q36" s="38">
        <f>+Q37+Q38+Q39</f>
        <v>1282770.6099999999</v>
      </c>
    </row>
    <row r="37" spans="1:17" s="3" customFormat="1" ht="29.25" customHeight="1" hidden="1">
      <c r="A37" s="79"/>
      <c r="B37" s="80"/>
      <c r="C37" s="74" t="s">
        <v>48</v>
      </c>
      <c r="D37" s="12">
        <v>412100</v>
      </c>
      <c r="E37" s="81" t="s">
        <v>49</v>
      </c>
      <c r="F37" s="35">
        <f>+G37+I37+K37</f>
        <v>52489607.38</v>
      </c>
      <c r="G37" s="82"/>
      <c r="H37" s="35"/>
      <c r="I37" s="35">
        <v>51651056</v>
      </c>
      <c r="J37" s="35"/>
      <c r="K37" s="35">
        <f>621817+125520-50680.62+141895</f>
        <v>838551.38</v>
      </c>
      <c r="L37" s="35">
        <f>+M37+O37+Q37</f>
        <v>52489607.38</v>
      </c>
      <c r="M37" s="82"/>
      <c r="N37" s="35"/>
      <c r="O37" s="35">
        <v>51651056</v>
      </c>
      <c r="P37" s="35"/>
      <c r="Q37" s="35">
        <f>621817+125520-50680.62+141895</f>
        <v>838551.38</v>
      </c>
    </row>
    <row r="38" spans="1:17" s="3" customFormat="1" ht="19.5" customHeight="1" hidden="1">
      <c r="A38" s="79"/>
      <c r="B38" s="80"/>
      <c r="C38" s="74" t="s">
        <v>50</v>
      </c>
      <c r="D38" s="12">
        <v>412200</v>
      </c>
      <c r="E38" s="81" t="s">
        <v>51</v>
      </c>
      <c r="F38" s="35">
        <f>+G38+I38+K38</f>
        <v>21395008.23</v>
      </c>
      <c r="G38" s="82"/>
      <c r="H38" s="35"/>
      <c r="I38" s="35">
        <v>21007462</v>
      </c>
      <c r="J38" s="35"/>
      <c r="K38" s="35">
        <f>253295+89285-20612.77+65579</f>
        <v>387546.23</v>
      </c>
      <c r="L38" s="35">
        <f>+M38+O38+Q38</f>
        <v>24558663.23</v>
      </c>
      <c r="M38" s="82"/>
      <c r="N38" s="35"/>
      <c r="O38" s="35">
        <f>21007462+3106982</f>
        <v>24114444</v>
      </c>
      <c r="P38" s="35"/>
      <c r="Q38" s="35">
        <f>253295+89285-20612.77+65579+56673</f>
        <v>444219.23</v>
      </c>
    </row>
    <row r="39" spans="1:17" s="3" customFormat="1" ht="19.5" customHeight="1" hidden="1">
      <c r="A39" s="83"/>
      <c r="B39" s="84"/>
      <c r="C39" s="74" t="s">
        <v>52</v>
      </c>
      <c r="D39" s="12">
        <v>412300</v>
      </c>
      <c r="E39" s="81" t="s">
        <v>53</v>
      </c>
      <c r="F39" s="35">
        <f>+G39+I39+K39</f>
        <v>3163655.39</v>
      </c>
      <c r="G39" s="82"/>
      <c r="H39" s="35"/>
      <c r="I39" s="35">
        <v>3106982</v>
      </c>
      <c r="J39" s="35"/>
      <c r="K39" s="35">
        <f>36888+13244-3048.61+9590</f>
        <v>56673.39</v>
      </c>
      <c r="L39" s="35"/>
      <c r="M39" s="82"/>
      <c r="N39" s="35"/>
      <c r="O39" s="35"/>
      <c r="P39" s="35"/>
      <c r="Q39" s="35"/>
    </row>
    <row r="40" spans="1:17" s="3" customFormat="1" ht="21" customHeight="1">
      <c r="A40" s="85">
        <v>3</v>
      </c>
      <c r="B40" s="86">
        <v>413000</v>
      </c>
      <c r="C40" s="76" t="s">
        <v>54</v>
      </c>
      <c r="D40" s="309" t="s">
        <v>55</v>
      </c>
      <c r="E40" s="309"/>
      <c r="F40" s="38">
        <f aca="true" t="shared" si="0" ref="F40:F47">SUM(G40:K40)</f>
        <v>597352</v>
      </c>
      <c r="G40" s="78"/>
      <c r="H40" s="38"/>
      <c r="I40" s="38">
        <f>+I41</f>
        <v>262352</v>
      </c>
      <c r="J40" s="38"/>
      <c r="K40" s="38">
        <f>+K41+K42</f>
        <v>335000</v>
      </c>
      <c r="L40" s="38">
        <f aca="true" t="shared" si="1" ref="L40:L47">SUM(M40:Q40)</f>
        <v>597352</v>
      </c>
      <c r="M40" s="78"/>
      <c r="N40" s="38"/>
      <c r="O40" s="38">
        <f>+O41</f>
        <v>262352</v>
      </c>
      <c r="P40" s="38"/>
      <c r="Q40" s="38">
        <f>+Q41+Q42</f>
        <v>335000</v>
      </c>
    </row>
    <row r="41" spans="1:21" s="3" customFormat="1" ht="19.5" customHeight="1" hidden="1">
      <c r="A41" s="88"/>
      <c r="B41" s="5"/>
      <c r="C41" s="88" t="s">
        <v>56</v>
      </c>
      <c r="D41" s="11">
        <v>413151</v>
      </c>
      <c r="E41" s="32" t="s">
        <v>57</v>
      </c>
      <c r="F41" s="35">
        <f t="shared" si="0"/>
        <v>297352</v>
      </c>
      <c r="G41" s="75"/>
      <c r="H41" s="75"/>
      <c r="I41" s="75">
        <f>259000-4378+7730</f>
        <v>262352</v>
      </c>
      <c r="J41" s="75"/>
      <c r="K41" s="75">
        <v>35000</v>
      </c>
      <c r="L41" s="35">
        <f t="shared" si="1"/>
        <v>297352</v>
      </c>
      <c r="M41" s="75"/>
      <c r="N41" s="75"/>
      <c r="O41" s="75">
        <f>259000-4378+7730</f>
        <v>262352</v>
      </c>
      <c r="P41" s="75"/>
      <c r="Q41" s="75">
        <v>35000</v>
      </c>
      <c r="R41" s="3">
        <v>165141</v>
      </c>
      <c r="S41" s="3">
        <v>21571</v>
      </c>
      <c r="T41" s="202">
        <f>+R41/O41</f>
        <v>0.6294634689272428</v>
      </c>
      <c r="U41" s="202">
        <f>+S41/Q41</f>
        <v>0.6163142857142857</v>
      </c>
    </row>
    <row r="42" spans="1:21" s="3" customFormat="1" ht="19.5" customHeight="1" hidden="1">
      <c r="A42" s="89"/>
      <c r="B42" s="5"/>
      <c r="C42" s="88" t="s">
        <v>58</v>
      </c>
      <c r="D42" s="11">
        <v>413142</v>
      </c>
      <c r="E42" s="90" t="s">
        <v>59</v>
      </c>
      <c r="F42" s="35">
        <f t="shared" si="0"/>
        <v>300000</v>
      </c>
      <c r="G42" s="75"/>
      <c r="H42" s="75"/>
      <c r="I42" s="75"/>
      <c r="J42" s="75"/>
      <c r="K42" s="75">
        <v>300000</v>
      </c>
      <c r="L42" s="35">
        <f t="shared" si="1"/>
        <v>300000</v>
      </c>
      <c r="M42" s="75"/>
      <c r="N42" s="75"/>
      <c r="O42" s="75"/>
      <c r="P42" s="75"/>
      <c r="Q42" s="75">
        <v>300000</v>
      </c>
      <c r="T42" s="202" t="e">
        <f aca="true" t="shared" si="2" ref="T42:T105">+R42/O42</f>
        <v>#DIV/0!</v>
      </c>
      <c r="U42" s="202">
        <f aca="true" t="shared" si="3" ref="U42:U105">+S42/Q42</f>
        <v>0</v>
      </c>
    </row>
    <row r="43" spans="1:21" s="3" customFormat="1" ht="19.5" customHeight="1">
      <c r="A43" s="91">
        <v>4</v>
      </c>
      <c r="B43" s="40">
        <v>414000</v>
      </c>
      <c r="C43" s="92" t="s">
        <v>60</v>
      </c>
      <c r="D43" s="309" t="s">
        <v>61</v>
      </c>
      <c r="E43" s="309"/>
      <c r="F43" s="38">
        <f t="shared" si="0"/>
        <v>10322213.46</v>
      </c>
      <c r="G43" s="78">
        <f>+G44+G48</f>
        <v>1484.59</v>
      </c>
      <c r="H43" s="38">
        <f>+H44+H48</f>
        <v>4874528.09</v>
      </c>
      <c r="I43" s="38">
        <f>+I44+I48</f>
        <v>5376200.78</v>
      </c>
      <c r="J43" s="38"/>
      <c r="K43" s="38">
        <f>+K44+K48+K51</f>
        <v>70000</v>
      </c>
      <c r="L43" s="38">
        <f t="shared" si="1"/>
        <v>10322213.46</v>
      </c>
      <c r="M43" s="78">
        <f>+M44+M48</f>
        <v>1484.59</v>
      </c>
      <c r="N43" s="38">
        <f>+N44+N48</f>
        <v>4874528.09</v>
      </c>
      <c r="O43" s="38">
        <f>+O44+O48</f>
        <v>5376200.78</v>
      </c>
      <c r="P43" s="38"/>
      <c r="Q43" s="38">
        <f>+Q44+Q48+Q51</f>
        <v>70000</v>
      </c>
      <c r="T43" s="202">
        <f t="shared" si="2"/>
        <v>0</v>
      </c>
      <c r="U43" s="202">
        <f t="shared" si="3"/>
        <v>0</v>
      </c>
    </row>
    <row r="44" spans="1:21" s="3" customFormat="1" ht="39" customHeight="1">
      <c r="A44" s="93"/>
      <c r="B44" s="36"/>
      <c r="C44" s="92" t="s">
        <v>62</v>
      </c>
      <c r="D44" s="36">
        <v>414100</v>
      </c>
      <c r="E44" s="143" t="s">
        <v>63</v>
      </c>
      <c r="F44" s="38">
        <f t="shared" si="0"/>
        <v>7787477.46</v>
      </c>
      <c r="G44" s="78">
        <f>+G45+G46+G47</f>
        <v>1484.59</v>
      </c>
      <c r="H44" s="38">
        <f>+H45</f>
        <v>4874528.09</v>
      </c>
      <c r="I44" s="38">
        <f>+I45+I46</f>
        <v>2911464.7800000003</v>
      </c>
      <c r="J44" s="38"/>
      <c r="K44" s="38"/>
      <c r="L44" s="38">
        <f t="shared" si="1"/>
        <v>7787477.46</v>
      </c>
      <c r="M44" s="78">
        <f>+M45+M46+M47</f>
        <v>1484.59</v>
      </c>
      <c r="N44" s="38">
        <f>+N45</f>
        <v>4874528.09</v>
      </c>
      <c r="O44" s="38">
        <f>+O45+O46</f>
        <v>2911464.7800000003</v>
      </c>
      <c r="P44" s="38"/>
      <c r="Q44" s="38"/>
      <c r="T44" s="202">
        <f t="shared" si="2"/>
        <v>0</v>
      </c>
      <c r="U44" s="202" t="e">
        <f t="shared" si="3"/>
        <v>#DIV/0!</v>
      </c>
    </row>
    <row r="45" spans="1:21" s="3" customFormat="1" ht="19.5" customHeight="1" hidden="1">
      <c r="A45" s="317"/>
      <c r="B45" s="97"/>
      <c r="C45" s="144" t="s">
        <v>154</v>
      </c>
      <c r="D45" s="11">
        <v>414111</v>
      </c>
      <c r="E45" s="95" t="s">
        <v>155</v>
      </c>
      <c r="F45" s="35">
        <f t="shared" si="0"/>
        <v>4874528.09</v>
      </c>
      <c r="G45" s="78"/>
      <c r="H45" s="35">
        <v>4874528.09</v>
      </c>
      <c r="I45" s="35"/>
      <c r="J45" s="35"/>
      <c r="K45" s="35"/>
      <c r="L45" s="35">
        <f t="shared" si="1"/>
        <v>4874528.09</v>
      </c>
      <c r="M45" s="78"/>
      <c r="N45" s="35">
        <v>4874528.09</v>
      </c>
      <c r="O45" s="35"/>
      <c r="P45" s="35"/>
      <c r="Q45" s="35"/>
      <c r="T45" s="202" t="e">
        <f t="shared" si="2"/>
        <v>#DIV/0!</v>
      </c>
      <c r="U45" s="202" t="e">
        <f t="shared" si="3"/>
        <v>#DIV/0!</v>
      </c>
    </row>
    <row r="46" spans="1:21" s="3" customFormat="1" ht="19.5" customHeight="1" hidden="1">
      <c r="A46" s="317"/>
      <c r="B46" s="97"/>
      <c r="C46" s="144" t="s">
        <v>156</v>
      </c>
      <c r="D46" s="11">
        <v>414121</v>
      </c>
      <c r="E46" s="95" t="s">
        <v>157</v>
      </c>
      <c r="F46" s="35">
        <f t="shared" si="0"/>
        <v>2911464.7800000003</v>
      </c>
      <c r="G46" s="78"/>
      <c r="H46" s="38"/>
      <c r="I46" s="35">
        <f>2631457.72+280007.06</f>
        <v>2911464.7800000003</v>
      </c>
      <c r="J46" s="35"/>
      <c r="K46" s="35"/>
      <c r="L46" s="35">
        <f t="shared" si="1"/>
        <v>2911464.7800000003</v>
      </c>
      <c r="M46" s="78"/>
      <c r="N46" s="38"/>
      <c r="O46" s="35">
        <f>2631457.72+280007.06</f>
        <v>2911464.7800000003</v>
      </c>
      <c r="P46" s="35"/>
      <c r="Q46" s="35"/>
      <c r="T46" s="202">
        <f t="shared" si="2"/>
        <v>0</v>
      </c>
      <c r="U46" s="202" t="e">
        <f t="shared" si="3"/>
        <v>#DIV/0!</v>
      </c>
    </row>
    <row r="47" spans="1:21" s="3" customFormat="1" ht="19.5" customHeight="1" hidden="1">
      <c r="A47" s="96"/>
      <c r="B47" s="97"/>
      <c r="C47" s="144" t="s">
        <v>158</v>
      </c>
      <c r="D47" s="11">
        <v>414131</v>
      </c>
      <c r="E47" s="95" t="s">
        <v>159</v>
      </c>
      <c r="F47" s="35">
        <f t="shared" si="0"/>
        <v>1484.59</v>
      </c>
      <c r="G47" s="82">
        <f>1347.59+137</f>
        <v>1484.59</v>
      </c>
      <c r="H47" s="38"/>
      <c r="I47" s="35"/>
      <c r="J47" s="35"/>
      <c r="K47" s="35"/>
      <c r="L47" s="35">
        <f t="shared" si="1"/>
        <v>1484.59</v>
      </c>
      <c r="M47" s="82">
        <f>1347.59+137</f>
        <v>1484.59</v>
      </c>
      <c r="N47" s="38"/>
      <c r="O47" s="35"/>
      <c r="P47" s="35"/>
      <c r="Q47" s="35"/>
      <c r="T47" s="202" t="e">
        <f t="shared" si="2"/>
        <v>#DIV/0!</v>
      </c>
      <c r="U47" s="202" t="e">
        <f t="shared" si="3"/>
        <v>#DIV/0!</v>
      </c>
    </row>
    <row r="48" spans="1:21" s="3" customFormat="1" ht="19.5" customHeight="1">
      <c r="A48" s="96"/>
      <c r="B48" s="145"/>
      <c r="C48" s="76" t="s">
        <v>64</v>
      </c>
      <c r="D48" s="36">
        <v>414300</v>
      </c>
      <c r="E48" s="143" t="s">
        <v>65</v>
      </c>
      <c r="F48" s="38">
        <f>+G48+H48+I48+K48</f>
        <v>2464736</v>
      </c>
      <c r="G48" s="78"/>
      <c r="H48" s="38"/>
      <c r="I48" s="38">
        <f>+I49+I50</f>
        <v>2464736</v>
      </c>
      <c r="J48" s="38"/>
      <c r="K48" s="38"/>
      <c r="L48" s="38">
        <f>+M48+N48+O48+Q48</f>
        <v>2464736</v>
      </c>
      <c r="M48" s="78"/>
      <c r="N48" s="38"/>
      <c r="O48" s="38">
        <f>+O49+O50</f>
        <v>2464736</v>
      </c>
      <c r="P48" s="38"/>
      <c r="Q48" s="38"/>
      <c r="T48" s="202">
        <f t="shared" si="2"/>
        <v>0</v>
      </c>
      <c r="U48" s="202" t="e">
        <f t="shared" si="3"/>
        <v>#DIV/0!</v>
      </c>
    </row>
    <row r="49" spans="1:21" s="3" customFormat="1" ht="19.5" customHeight="1" hidden="1">
      <c r="A49" s="98"/>
      <c r="B49" s="73"/>
      <c r="C49" s="74" t="s">
        <v>160</v>
      </c>
      <c r="D49" s="11">
        <v>414311</v>
      </c>
      <c r="E49" s="32" t="s">
        <v>161</v>
      </c>
      <c r="F49" s="35">
        <f>SUM(G49:K49)</f>
        <v>2346263</v>
      </c>
      <c r="G49" s="75"/>
      <c r="H49" s="75"/>
      <c r="I49" s="75">
        <f>2080560+25703+240000</f>
        <v>2346263</v>
      </c>
      <c r="J49" s="75"/>
      <c r="K49" s="75"/>
      <c r="L49" s="35">
        <f>SUM(M49:Q49)</f>
        <v>2346263</v>
      </c>
      <c r="M49" s="75"/>
      <c r="N49" s="75"/>
      <c r="O49" s="75">
        <f>2080560+25703+240000</f>
        <v>2346263</v>
      </c>
      <c r="P49" s="75"/>
      <c r="Q49" s="75"/>
      <c r="R49" s="3">
        <v>1129224.61</v>
      </c>
      <c r="T49" s="202">
        <f t="shared" si="2"/>
        <v>0.4812864585087009</v>
      </c>
      <c r="U49" s="202" t="e">
        <f t="shared" si="3"/>
        <v>#DIV/0!</v>
      </c>
    </row>
    <row r="50" spans="1:21" s="3" customFormat="1" ht="28.5" customHeight="1" hidden="1">
      <c r="A50" s="98"/>
      <c r="B50" s="99"/>
      <c r="C50" s="290" t="s">
        <v>162</v>
      </c>
      <c r="D50" s="13">
        <v>414314</v>
      </c>
      <c r="E50" s="150" t="s">
        <v>163</v>
      </c>
      <c r="F50" s="35">
        <f>SUM(G50:K50)</f>
        <v>118473</v>
      </c>
      <c r="G50" s="75"/>
      <c r="H50" s="75"/>
      <c r="I50" s="75">
        <v>118473</v>
      </c>
      <c r="J50" s="75"/>
      <c r="K50" s="75"/>
      <c r="L50" s="35">
        <f>SUM(M50:Q50)</f>
        <v>118473</v>
      </c>
      <c r="M50" s="75"/>
      <c r="N50" s="75"/>
      <c r="O50" s="75">
        <v>118473</v>
      </c>
      <c r="P50" s="75"/>
      <c r="Q50" s="75"/>
      <c r="R50" s="3">
        <v>78982</v>
      </c>
      <c r="T50" s="202">
        <f t="shared" si="2"/>
        <v>0.6666666666666666</v>
      </c>
      <c r="U50" s="202" t="e">
        <f t="shared" si="3"/>
        <v>#DIV/0!</v>
      </c>
    </row>
    <row r="51" spans="1:21" s="3" customFormat="1" ht="43.5" customHeight="1">
      <c r="A51" s="98"/>
      <c r="B51" s="288"/>
      <c r="C51" s="292" t="s">
        <v>66</v>
      </c>
      <c r="D51" s="287">
        <v>414400</v>
      </c>
      <c r="E51" s="293" t="s">
        <v>67</v>
      </c>
      <c r="F51" s="289">
        <f>+I52+K52</f>
        <v>70000</v>
      </c>
      <c r="G51" s="146"/>
      <c r="H51" s="146"/>
      <c r="I51" s="146"/>
      <c r="J51" s="146"/>
      <c r="K51" s="146">
        <f>+K52</f>
        <v>70000</v>
      </c>
      <c r="L51" s="38">
        <f>+O52+Q52</f>
        <v>70000</v>
      </c>
      <c r="M51" s="146"/>
      <c r="N51" s="146"/>
      <c r="O51" s="146"/>
      <c r="P51" s="146"/>
      <c r="Q51" s="146">
        <f>+Q52</f>
        <v>70000</v>
      </c>
      <c r="T51" s="202" t="e">
        <f t="shared" si="2"/>
        <v>#DIV/0!</v>
      </c>
      <c r="U51" s="202">
        <f t="shared" si="3"/>
        <v>0</v>
      </c>
    </row>
    <row r="52" spans="1:21" s="3" customFormat="1" ht="25.5" customHeight="1" hidden="1">
      <c r="A52" s="98"/>
      <c r="B52" s="116"/>
      <c r="C52" s="83" t="s">
        <v>164</v>
      </c>
      <c r="D52" s="130">
        <v>414411</v>
      </c>
      <c r="E52" s="291" t="s">
        <v>165</v>
      </c>
      <c r="F52" s="35">
        <f aca="true" t="shared" si="4" ref="F52:F59">SUM(G52:K52)</f>
        <v>70000</v>
      </c>
      <c r="G52" s="75"/>
      <c r="H52" s="75"/>
      <c r="I52" s="75"/>
      <c r="J52" s="75"/>
      <c r="K52" s="75">
        <v>70000</v>
      </c>
      <c r="L52" s="35">
        <f aca="true" t="shared" si="5" ref="L52:L59">SUM(M52:Q52)</f>
        <v>70000</v>
      </c>
      <c r="M52" s="75"/>
      <c r="N52" s="75"/>
      <c r="O52" s="75"/>
      <c r="P52" s="75"/>
      <c r="Q52" s="75">
        <v>70000</v>
      </c>
      <c r="S52" s="3">
        <v>39137</v>
      </c>
      <c r="T52" s="202" t="e">
        <f t="shared" si="2"/>
        <v>#DIV/0!</v>
      </c>
      <c r="U52" s="202">
        <f t="shared" si="3"/>
        <v>0.5591</v>
      </c>
    </row>
    <row r="53" spans="1:21" s="3" customFormat="1" ht="23.25" customHeight="1">
      <c r="A53" s="76">
        <v>5</v>
      </c>
      <c r="B53" s="36">
        <v>415000</v>
      </c>
      <c r="C53" s="248" t="s">
        <v>68</v>
      </c>
      <c r="D53" s="332" t="s">
        <v>69</v>
      </c>
      <c r="E53" s="332"/>
      <c r="F53" s="249">
        <f t="shared" si="4"/>
        <v>13524148</v>
      </c>
      <c r="G53" s="250"/>
      <c r="H53" s="250"/>
      <c r="I53" s="249">
        <f>+I54+I55+I56</f>
        <v>12024148</v>
      </c>
      <c r="J53" s="249"/>
      <c r="K53" s="249">
        <f>+K54+K55+K56</f>
        <v>1500000</v>
      </c>
      <c r="L53" s="249">
        <f t="shared" si="5"/>
        <v>13671648</v>
      </c>
      <c r="M53" s="250"/>
      <c r="N53" s="250"/>
      <c r="O53" s="249">
        <f>+O54+O55+O56</f>
        <v>11971648</v>
      </c>
      <c r="P53" s="249"/>
      <c r="Q53" s="249">
        <f>+Q54+Q55+Q56</f>
        <v>1700000</v>
      </c>
      <c r="T53" s="202">
        <f t="shared" si="2"/>
        <v>0</v>
      </c>
      <c r="U53" s="202">
        <f t="shared" si="3"/>
        <v>0</v>
      </c>
    </row>
    <row r="54" spans="1:21" s="3" customFormat="1" ht="24" customHeight="1" hidden="1">
      <c r="A54" s="318"/>
      <c r="B54" s="319"/>
      <c r="C54" s="294" t="s">
        <v>166</v>
      </c>
      <c r="D54" s="295">
        <v>415111</v>
      </c>
      <c r="E54" s="258" t="s">
        <v>167</v>
      </c>
      <c r="F54" s="256">
        <f t="shared" si="4"/>
        <v>1300000</v>
      </c>
      <c r="G54" s="296"/>
      <c r="H54" s="296"/>
      <c r="I54" s="296"/>
      <c r="J54" s="296"/>
      <c r="K54" s="296">
        <v>1300000</v>
      </c>
      <c r="L54" s="256">
        <f t="shared" si="5"/>
        <v>1500000</v>
      </c>
      <c r="M54" s="296"/>
      <c r="N54" s="296"/>
      <c r="O54" s="296"/>
      <c r="P54" s="296"/>
      <c r="Q54" s="296">
        <v>1500000</v>
      </c>
      <c r="S54" s="3">
        <v>1218920.77</v>
      </c>
      <c r="T54" s="202" t="e">
        <f t="shared" si="2"/>
        <v>#DIV/0!</v>
      </c>
      <c r="U54" s="203">
        <f t="shared" si="3"/>
        <v>0.8126138466666667</v>
      </c>
    </row>
    <row r="55" spans="1:21" s="3" customFormat="1" ht="23.25" customHeight="1" hidden="1">
      <c r="A55" s="318"/>
      <c r="B55" s="319"/>
      <c r="C55" s="297" t="s">
        <v>168</v>
      </c>
      <c r="D55" s="254">
        <v>415112</v>
      </c>
      <c r="E55" s="258" t="s">
        <v>169</v>
      </c>
      <c r="F55" s="256">
        <f t="shared" si="4"/>
        <v>11789148</v>
      </c>
      <c r="G55" s="257"/>
      <c r="H55" s="257"/>
      <c r="I55" s="257">
        <f>10324619-33971+1303000-4500</f>
        <v>11589148</v>
      </c>
      <c r="J55" s="257"/>
      <c r="K55" s="257">
        <v>200000</v>
      </c>
      <c r="L55" s="256">
        <f t="shared" si="5"/>
        <v>11736648</v>
      </c>
      <c r="M55" s="257"/>
      <c r="N55" s="257"/>
      <c r="O55" s="257">
        <f>10324619-33971+1303000-4500-52500</f>
        <v>11536648</v>
      </c>
      <c r="P55" s="257"/>
      <c r="Q55" s="257">
        <v>200000</v>
      </c>
      <c r="R55" s="3">
        <v>9089293.64</v>
      </c>
      <c r="S55" s="3">
        <v>61453.71</v>
      </c>
      <c r="T55" s="202">
        <f t="shared" si="2"/>
        <v>0.7878626131264472</v>
      </c>
      <c r="U55" s="202">
        <f t="shared" si="3"/>
        <v>0.30726855</v>
      </c>
    </row>
    <row r="56" spans="1:21" s="3" customFormat="1" ht="33" customHeight="1" hidden="1">
      <c r="A56" s="147"/>
      <c r="B56" s="148"/>
      <c r="C56" s="297" t="s">
        <v>170</v>
      </c>
      <c r="D56" s="254">
        <v>4151121</v>
      </c>
      <c r="E56" s="258" t="s">
        <v>171</v>
      </c>
      <c r="F56" s="256">
        <f t="shared" si="4"/>
        <v>435000</v>
      </c>
      <c r="G56" s="257"/>
      <c r="H56" s="257"/>
      <c r="I56" s="298">
        <v>435000</v>
      </c>
      <c r="J56" s="298"/>
      <c r="K56" s="298"/>
      <c r="L56" s="256">
        <f t="shared" si="5"/>
        <v>435000</v>
      </c>
      <c r="M56" s="257"/>
      <c r="N56" s="257"/>
      <c r="O56" s="298">
        <v>435000</v>
      </c>
      <c r="P56" s="298"/>
      <c r="Q56" s="298"/>
      <c r="R56" s="3">
        <v>341463.64</v>
      </c>
      <c r="T56" s="202">
        <f t="shared" si="2"/>
        <v>0.7849738850574713</v>
      </c>
      <c r="U56" s="202" t="e">
        <f t="shared" si="3"/>
        <v>#DIV/0!</v>
      </c>
    </row>
    <row r="57" spans="1:21" s="3" customFormat="1" ht="22.5" customHeight="1" thickBot="1">
      <c r="A57" s="68">
        <v>6</v>
      </c>
      <c r="B57" s="86">
        <v>416000</v>
      </c>
      <c r="C57" s="248" t="s">
        <v>70</v>
      </c>
      <c r="D57" s="333" t="s">
        <v>71</v>
      </c>
      <c r="E57" s="333"/>
      <c r="F57" s="249">
        <f t="shared" si="4"/>
        <v>7742040.56</v>
      </c>
      <c r="G57" s="250"/>
      <c r="H57" s="249"/>
      <c r="I57" s="249">
        <f>+I58+I59</f>
        <v>7652040.56</v>
      </c>
      <c r="J57" s="249"/>
      <c r="K57" s="249">
        <f>+K58+K59</f>
        <v>90000</v>
      </c>
      <c r="L57" s="249">
        <f t="shared" si="5"/>
        <v>7802040.56</v>
      </c>
      <c r="M57" s="250"/>
      <c r="N57" s="249"/>
      <c r="O57" s="249">
        <f>+O58+O59</f>
        <v>7652040.56</v>
      </c>
      <c r="P57" s="249"/>
      <c r="Q57" s="249">
        <f>+Q58+Q59</f>
        <v>150000</v>
      </c>
      <c r="T57" s="202">
        <f t="shared" si="2"/>
        <v>0</v>
      </c>
      <c r="U57" s="202">
        <f t="shared" si="3"/>
        <v>0</v>
      </c>
    </row>
    <row r="58" spans="1:21" s="3" customFormat="1" ht="19.5" customHeight="1" hidden="1">
      <c r="A58" s="91"/>
      <c r="B58" s="87"/>
      <c r="C58" s="88" t="s">
        <v>172</v>
      </c>
      <c r="D58" s="11">
        <v>416111</v>
      </c>
      <c r="E58" s="32" t="s">
        <v>173</v>
      </c>
      <c r="F58" s="35">
        <f t="shared" si="4"/>
        <v>7652040.56</v>
      </c>
      <c r="G58" s="75"/>
      <c r="H58" s="75"/>
      <c r="I58" s="75">
        <v>7652040.56</v>
      </c>
      <c r="J58" s="75"/>
      <c r="K58" s="75"/>
      <c r="L58" s="35">
        <f t="shared" si="5"/>
        <v>7652040.56</v>
      </c>
      <c r="M58" s="75"/>
      <c r="N58" s="75"/>
      <c r="O58" s="75">
        <v>7652040.56</v>
      </c>
      <c r="P58" s="75"/>
      <c r="Q58" s="75"/>
      <c r="R58" s="3">
        <v>4209485.09</v>
      </c>
      <c r="T58" s="202">
        <f t="shared" si="2"/>
        <v>0.5501127518853611</v>
      </c>
      <c r="U58" s="202" t="e">
        <f t="shared" si="3"/>
        <v>#DIV/0!</v>
      </c>
    </row>
    <row r="59" spans="1:21" s="3" customFormat="1" ht="23.25" customHeight="1" hidden="1" thickBot="1">
      <c r="A59" s="79"/>
      <c r="B59" s="5"/>
      <c r="C59" s="217" t="s">
        <v>174</v>
      </c>
      <c r="D59" s="218">
        <v>416131</v>
      </c>
      <c r="E59" s="219" t="s">
        <v>175</v>
      </c>
      <c r="F59" s="220">
        <f t="shared" si="4"/>
        <v>90000</v>
      </c>
      <c r="G59" s="221"/>
      <c r="H59" s="221"/>
      <c r="I59" s="221"/>
      <c r="J59" s="221"/>
      <c r="K59" s="221">
        <v>90000</v>
      </c>
      <c r="L59" s="220">
        <f t="shared" si="5"/>
        <v>150000</v>
      </c>
      <c r="M59" s="221"/>
      <c r="N59" s="221"/>
      <c r="O59" s="221"/>
      <c r="P59" s="221"/>
      <c r="Q59" s="221">
        <v>150000</v>
      </c>
      <c r="R59" s="3">
        <f>2349*3</f>
        <v>7047</v>
      </c>
      <c r="S59" s="3">
        <v>107786.39</v>
      </c>
      <c r="T59" s="202" t="e">
        <f t="shared" si="2"/>
        <v>#DIV/0!</v>
      </c>
      <c r="U59" s="203">
        <f t="shared" si="3"/>
        <v>0.7185759333333334</v>
      </c>
    </row>
    <row r="60" spans="1:21" s="3" customFormat="1" ht="24" customHeight="1" thickBot="1" thickTop="1">
      <c r="A60" s="17" t="s">
        <v>28</v>
      </c>
      <c r="B60" s="142">
        <v>420000</v>
      </c>
      <c r="C60" s="142"/>
      <c r="D60" s="307" t="s">
        <v>72</v>
      </c>
      <c r="E60" s="307"/>
      <c r="F60" s="21">
        <f>+F61+F89+F98+F121+F157+F129</f>
        <v>142627162.99</v>
      </c>
      <c r="G60" s="100"/>
      <c r="H60" s="100">
        <f>+H61+H89+H98+H121+H157+H129</f>
        <v>1500000</v>
      </c>
      <c r="I60" s="21">
        <f>+I61+I89+I98+I121+I157+I129</f>
        <v>131150442.99</v>
      </c>
      <c r="J60" s="21">
        <f>+J61+J89+J98+J121+J157+J129</f>
        <v>65000</v>
      </c>
      <c r="K60" s="21">
        <f>+K61+K89+K98+K121+K157+K129</f>
        <v>9911720</v>
      </c>
      <c r="L60" s="21">
        <f>+L61+L89+L98+L121+L157+L129</f>
        <v>138710075.39</v>
      </c>
      <c r="M60" s="100"/>
      <c r="N60" s="100">
        <f>+N61+N89+N98+N121+N157+N129</f>
        <v>1500000</v>
      </c>
      <c r="O60" s="21">
        <f>+O61+O89+O98+O121+O157+O129</f>
        <v>128691943</v>
      </c>
      <c r="P60" s="21">
        <f>+P61+P89+P98+P121+P157+P129</f>
        <v>65000</v>
      </c>
      <c r="Q60" s="21">
        <f>+Q61+Q89+Q98+Q121+Q157+Q129</f>
        <v>8453132.39</v>
      </c>
      <c r="T60" s="202">
        <f t="shared" si="2"/>
        <v>0</v>
      </c>
      <c r="U60" s="202">
        <f t="shared" si="3"/>
        <v>0</v>
      </c>
    </row>
    <row r="61" spans="1:21" s="3" customFormat="1" ht="24.75" customHeight="1" thickTop="1">
      <c r="A61" s="128">
        <v>1</v>
      </c>
      <c r="B61" s="69">
        <v>421000</v>
      </c>
      <c r="C61" s="101"/>
      <c r="D61" s="323" t="s">
        <v>73</v>
      </c>
      <c r="E61" s="323"/>
      <c r="F61" s="28">
        <f>+F62+F65+F70+F74+F82+F87</f>
        <v>23148529.99</v>
      </c>
      <c r="G61" s="71"/>
      <c r="H61" s="71"/>
      <c r="I61" s="28">
        <f>+I62+I65+I70+I74+I82+I87</f>
        <v>22065529.99</v>
      </c>
      <c r="J61" s="28">
        <f>+J62+J65+J70+J74+J82+J87</f>
        <v>60000</v>
      </c>
      <c r="K61" s="28">
        <f>+K62+K65+K70+K74+K82+K88</f>
        <v>1023000</v>
      </c>
      <c r="L61" s="28">
        <f>+L62+L65+L70+L74+L82+L87</f>
        <v>24167386.99</v>
      </c>
      <c r="M61" s="71"/>
      <c r="N61" s="71"/>
      <c r="O61" s="28">
        <f>+O62+O65+O70+O74+O82+O87</f>
        <v>23084386.99</v>
      </c>
      <c r="P61" s="28">
        <f>+P62+P65+P70+P74+P82+P87</f>
        <v>60000</v>
      </c>
      <c r="Q61" s="28">
        <f>+Q62+Q65+Q70+Q74+Q82+Q88</f>
        <v>1023000</v>
      </c>
      <c r="T61" s="202">
        <f t="shared" si="2"/>
        <v>0</v>
      </c>
      <c r="U61" s="202">
        <f t="shared" si="3"/>
        <v>0</v>
      </c>
    </row>
    <row r="62" spans="1:21" s="3" customFormat="1" ht="24.75" customHeight="1">
      <c r="A62" s="102"/>
      <c r="B62" s="277"/>
      <c r="C62" s="274" t="s">
        <v>74</v>
      </c>
      <c r="D62" s="36">
        <v>421100</v>
      </c>
      <c r="E62" s="151" t="s">
        <v>176</v>
      </c>
      <c r="F62" s="38">
        <f aca="true" t="shared" si="6" ref="F62:F80">SUM(G62:K62)</f>
        <v>905000</v>
      </c>
      <c r="G62" s="152"/>
      <c r="H62" s="152"/>
      <c r="I62" s="152">
        <f>+I63+I64</f>
        <v>780000</v>
      </c>
      <c r="J62" s="152"/>
      <c r="K62" s="152">
        <f>+K63+K64</f>
        <v>125000</v>
      </c>
      <c r="L62" s="38">
        <f aca="true" t="shared" si="7" ref="L62:L80">SUM(M62:Q62)</f>
        <v>905000</v>
      </c>
      <c r="M62" s="152"/>
      <c r="N62" s="152"/>
      <c r="O62" s="152">
        <f>+O63+O64</f>
        <v>780000</v>
      </c>
      <c r="P62" s="152"/>
      <c r="Q62" s="152">
        <f>+Q63+Q64</f>
        <v>125000</v>
      </c>
      <c r="T62" s="202">
        <f t="shared" si="2"/>
        <v>0</v>
      </c>
      <c r="U62" s="202">
        <f t="shared" si="3"/>
        <v>0</v>
      </c>
    </row>
    <row r="63" spans="1:21" s="3" customFormat="1" ht="19.5" customHeight="1" hidden="1">
      <c r="A63" s="104"/>
      <c r="B63" s="324"/>
      <c r="C63" s="110" t="s">
        <v>177</v>
      </c>
      <c r="D63" s="11">
        <v>421111</v>
      </c>
      <c r="E63" s="32" t="s">
        <v>178</v>
      </c>
      <c r="F63" s="35">
        <f t="shared" si="6"/>
        <v>830000</v>
      </c>
      <c r="G63" s="75"/>
      <c r="H63" s="75"/>
      <c r="I63" s="75">
        <v>710000</v>
      </c>
      <c r="J63" s="75"/>
      <c r="K63" s="75">
        <v>120000</v>
      </c>
      <c r="L63" s="35">
        <f t="shared" si="7"/>
        <v>830000</v>
      </c>
      <c r="M63" s="75"/>
      <c r="N63" s="75"/>
      <c r="O63" s="75">
        <v>710000</v>
      </c>
      <c r="P63" s="75"/>
      <c r="Q63" s="75">
        <v>120000</v>
      </c>
      <c r="R63" s="3">
        <v>557394.65</v>
      </c>
      <c r="S63" s="3">
        <f>56487.05+15+2975.99</f>
        <v>59478.04</v>
      </c>
      <c r="T63" s="202">
        <f t="shared" si="2"/>
        <v>0.7850628873239437</v>
      </c>
      <c r="U63" s="202">
        <f t="shared" si="3"/>
        <v>0.49565033333333336</v>
      </c>
    </row>
    <row r="64" spans="1:21" s="3" customFormat="1" ht="19.5" customHeight="1" hidden="1">
      <c r="A64" s="104"/>
      <c r="B64" s="324"/>
      <c r="C64" s="110" t="s">
        <v>179</v>
      </c>
      <c r="D64" s="11">
        <v>421121</v>
      </c>
      <c r="E64" s="32" t="s">
        <v>180</v>
      </c>
      <c r="F64" s="35">
        <f t="shared" si="6"/>
        <v>75000</v>
      </c>
      <c r="G64" s="75"/>
      <c r="H64" s="75"/>
      <c r="I64" s="75">
        <v>70000</v>
      </c>
      <c r="J64" s="75"/>
      <c r="K64" s="75">
        <v>5000</v>
      </c>
      <c r="L64" s="35">
        <f t="shared" si="7"/>
        <v>75000</v>
      </c>
      <c r="M64" s="75"/>
      <c r="N64" s="75"/>
      <c r="O64" s="75">
        <v>70000</v>
      </c>
      <c r="P64" s="75"/>
      <c r="Q64" s="75">
        <v>5000</v>
      </c>
      <c r="R64" s="3">
        <v>35825</v>
      </c>
      <c r="T64" s="202">
        <f t="shared" si="2"/>
        <v>0.5117857142857143</v>
      </c>
      <c r="U64" s="202">
        <f t="shared" si="3"/>
        <v>0</v>
      </c>
    </row>
    <row r="65" spans="1:21" s="3" customFormat="1" ht="24.75" customHeight="1">
      <c r="A65" s="104"/>
      <c r="B65" s="279"/>
      <c r="C65" s="275" t="s">
        <v>75</v>
      </c>
      <c r="D65" s="247">
        <v>421200</v>
      </c>
      <c r="E65" s="251" t="s">
        <v>181</v>
      </c>
      <c r="F65" s="249">
        <f t="shared" si="6"/>
        <v>11925000</v>
      </c>
      <c r="G65" s="252"/>
      <c r="H65" s="252"/>
      <c r="I65" s="252">
        <f>+I66+I67+I68+I69</f>
        <v>11710000</v>
      </c>
      <c r="J65" s="252"/>
      <c r="K65" s="252">
        <f>+K66+K67+K68+K69</f>
        <v>215000</v>
      </c>
      <c r="L65" s="249">
        <f t="shared" si="7"/>
        <v>12443857</v>
      </c>
      <c r="M65" s="252"/>
      <c r="N65" s="252"/>
      <c r="O65" s="252">
        <f>+O66+O67+O68+O69</f>
        <v>12228857</v>
      </c>
      <c r="P65" s="252"/>
      <c r="Q65" s="252">
        <f>+Q66+Q67+Q68+Q69</f>
        <v>215000</v>
      </c>
      <c r="T65" s="202">
        <f t="shared" si="2"/>
        <v>0</v>
      </c>
      <c r="U65" s="202">
        <f t="shared" si="3"/>
        <v>0</v>
      </c>
    </row>
    <row r="66" spans="1:21" s="1" customFormat="1" ht="19.5" customHeight="1" hidden="1">
      <c r="A66" s="104"/>
      <c r="B66" s="324"/>
      <c r="C66" s="110" t="s">
        <v>182</v>
      </c>
      <c r="D66" s="11">
        <v>421211</v>
      </c>
      <c r="E66" s="32" t="s">
        <v>183</v>
      </c>
      <c r="F66" s="35">
        <f t="shared" si="6"/>
        <v>6274000</v>
      </c>
      <c r="G66" s="75"/>
      <c r="H66" s="75"/>
      <c r="I66" s="75">
        <f>6337456-163456</f>
        <v>6174000</v>
      </c>
      <c r="J66" s="75"/>
      <c r="K66" s="75">
        <v>100000</v>
      </c>
      <c r="L66" s="35">
        <f t="shared" si="7"/>
        <v>6274000</v>
      </c>
      <c r="M66" s="75"/>
      <c r="N66" s="75"/>
      <c r="O66" s="75">
        <f>6337456-163456</f>
        <v>6174000</v>
      </c>
      <c r="P66" s="75"/>
      <c r="Q66" s="75">
        <v>100000</v>
      </c>
      <c r="R66" s="3">
        <v>4717709.26</v>
      </c>
      <c r="S66" s="3">
        <v>246210.23</v>
      </c>
      <c r="T66" s="202">
        <f t="shared" si="2"/>
        <v>0.7641252445740201</v>
      </c>
      <c r="U66" s="203">
        <f t="shared" si="3"/>
        <v>2.4621023</v>
      </c>
    </row>
    <row r="67" spans="1:21" s="1" customFormat="1" ht="19.5" customHeight="1" hidden="1">
      <c r="A67" s="104"/>
      <c r="B67" s="324"/>
      <c r="C67" s="110" t="s">
        <v>184</v>
      </c>
      <c r="D67" s="11">
        <v>421221</v>
      </c>
      <c r="E67" s="32" t="s">
        <v>185</v>
      </c>
      <c r="F67" s="35">
        <f t="shared" si="6"/>
        <v>2550000</v>
      </c>
      <c r="G67" s="75"/>
      <c r="H67" s="75"/>
      <c r="I67" s="75">
        <v>2450000</v>
      </c>
      <c r="J67" s="75"/>
      <c r="K67" s="75">
        <v>100000</v>
      </c>
      <c r="L67" s="35">
        <f t="shared" si="7"/>
        <v>2550000</v>
      </c>
      <c r="M67" s="75"/>
      <c r="N67" s="75"/>
      <c r="O67" s="75">
        <v>2450000</v>
      </c>
      <c r="P67" s="75"/>
      <c r="Q67" s="75">
        <v>100000</v>
      </c>
      <c r="R67" s="3">
        <v>1920051.53</v>
      </c>
      <c r="S67" s="3"/>
      <c r="T67" s="202">
        <f t="shared" si="2"/>
        <v>0.7836945020408164</v>
      </c>
      <c r="U67" s="202">
        <f t="shared" si="3"/>
        <v>0</v>
      </c>
    </row>
    <row r="68" spans="1:21" s="1" customFormat="1" ht="19.5" customHeight="1" hidden="1">
      <c r="A68" s="104"/>
      <c r="B68" s="324"/>
      <c r="C68" s="213" t="s">
        <v>186</v>
      </c>
      <c r="D68" s="205">
        <v>421224</v>
      </c>
      <c r="E68" s="206" t="s">
        <v>187</v>
      </c>
      <c r="F68" s="207">
        <f t="shared" si="6"/>
        <v>715000</v>
      </c>
      <c r="G68" s="208"/>
      <c r="H68" s="208"/>
      <c r="I68" s="208">
        <v>700000</v>
      </c>
      <c r="J68" s="208"/>
      <c r="K68" s="208">
        <v>15000</v>
      </c>
      <c r="L68" s="207">
        <f t="shared" si="7"/>
        <v>1233857</v>
      </c>
      <c r="M68" s="208"/>
      <c r="N68" s="208"/>
      <c r="O68" s="208">
        <v>1218857</v>
      </c>
      <c r="P68" s="208"/>
      <c r="Q68" s="208">
        <v>15000</v>
      </c>
      <c r="R68" s="3">
        <v>1161256.65</v>
      </c>
      <c r="S68" s="3">
        <f>43200-19200</f>
        <v>24000</v>
      </c>
      <c r="T68" s="222">
        <f t="shared" si="2"/>
        <v>0.9527423233406379</v>
      </c>
      <c r="U68" s="203">
        <f t="shared" si="3"/>
        <v>1.6</v>
      </c>
    </row>
    <row r="69" spans="1:24" s="1" customFormat="1" ht="19.5" customHeight="1" hidden="1">
      <c r="A69" s="104"/>
      <c r="B69" s="324"/>
      <c r="C69" s="110" t="s">
        <v>188</v>
      </c>
      <c r="D69" s="11">
        <v>421225</v>
      </c>
      <c r="E69" s="32" t="s">
        <v>189</v>
      </c>
      <c r="F69" s="35">
        <f t="shared" si="6"/>
        <v>2386000</v>
      </c>
      <c r="G69" s="75"/>
      <c r="H69" s="75"/>
      <c r="I69" s="75">
        <v>2386000</v>
      </c>
      <c r="J69" s="75"/>
      <c r="K69" s="75"/>
      <c r="L69" s="35">
        <f t="shared" si="7"/>
        <v>2386000</v>
      </c>
      <c r="M69" s="75"/>
      <c r="N69" s="75"/>
      <c r="O69" s="75">
        <v>2386000</v>
      </c>
      <c r="P69" s="75"/>
      <c r="Q69" s="75"/>
      <c r="R69" s="3">
        <v>1762630.12</v>
      </c>
      <c r="S69" s="3"/>
      <c r="T69" s="202">
        <f t="shared" si="2"/>
        <v>0.7387385247275776</v>
      </c>
      <c r="U69" s="202" t="e">
        <f t="shared" si="3"/>
        <v>#DIV/0!</v>
      </c>
      <c r="X69" s="1">
        <v>1218856.65</v>
      </c>
    </row>
    <row r="70" spans="1:24" s="1" customFormat="1" ht="21" customHeight="1">
      <c r="A70" s="104"/>
      <c r="B70" s="279"/>
      <c r="C70" s="92" t="s">
        <v>76</v>
      </c>
      <c r="D70" s="36">
        <v>421300</v>
      </c>
      <c r="E70" s="151" t="s">
        <v>190</v>
      </c>
      <c r="F70" s="38">
        <f t="shared" si="6"/>
        <v>5413644</v>
      </c>
      <c r="G70" s="146"/>
      <c r="H70" s="146"/>
      <c r="I70" s="146">
        <f>+I71+I72+I73</f>
        <v>5400644</v>
      </c>
      <c r="J70" s="146"/>
      <c r="K70" s="146">
        <f>+K71+K72+K73</f>
        <v>13000</v>
      </c>
      <c r="L70" s="38">
        <f t="shared" si="7"/>
        <v>5413644</v>
      </c>
      <c r="M70" s="146"/>
      <c r="N70" s="146"/>
      <c r="O70" s="146">
        <f>+O71+O72+O73</f>
        <v>5400644</v>
      </c>
      <c r="P70" s="146"/>
      <c r="Q70" s="146">
        <f>+Q71+Q72+Q73</f>
        <v>13000</v>
      </c>
      <c r="R70" s="3"/>
      <c r="S70" s="3"/>
      <c r="T70" s="202">
        <f t="shared" si="2"/>
        <v>0</v>
      </c>
      <c r="U70" s="202">
        <f t="shared" si="3"/>
        <v>0</v>
      </c>
      <c r="X70" s="1">
        <f>9600*3+4800</f>
        <v>33600</v>
      </c>
    </row>
    <row r="71" spans="1:24" s="1" customFormat="1" ht="19.5" customHeight="1" hidden="1">
      <c r="A71" s="104"/>
      <c r="B71" s="324"/>
      <c r="C71" s="110" t="s">
        <v>191</v>
      </c>
      <c r="D71" s="11">
        <v>421311</v>
      </c>
      <c r="E71" s="32" t="s">
        <v>192</v>
      </c>
      <c r="F71" s="35">
        <f t="shared" si="6"/>
        <v>1210000</v>
      </c>
      <c r="G71" s="75"/>
      <c r="H71" s="75"/>
      <c r="I71" s="75">
        <v>1200000</v>
      </c>
      <c r="J71" s="75"/>
      <c r="K71" s="75">
        <v>10000</v>
      </c>
      <c r="L71" s="35">
        <f t="shared" si="7"/>
        <v>1210000</v>
      </c>
      <c r="M71" s="75"/>
      <c r="N71" s="75"/>
      <c r="O71" s="75">
        <v>1200000</v>
      </c>
      <c r="P71" s="75"/>
      <c r="Q71" s="75">
        <v>10000</v>
      </c>
      <c r="R71" s="3">
        <v>799585.23</v>
      </c>
      <c r="S71" s="3">
        <v>10792.15</v>
      </c>
      <c r="T71" s="202">
        <f t="shared" si="2"/>
        <v>0.666321025</v>
      </c>
      <c r="U71" s="203">
        <f t="shared" si="3"/>
        <v>1.079215</v>
      </c>
      <c r="X71" s="1">
        <f>+X70*2</f>
        <v>67200</v>
      </c>
    </row>
    <row r="72" spans="1:24" s="1" customFormat="1" ht="19.5" customHeight="1" hidden="1">
      <c r="A72" s="104"/>
      <c r="B72" s="324"/>
      <c r="C72" s="110" t="s">
        <v>193</v>
      </c>
      <c r="D72" s="11">
        <v>421324</v>
      </c>
      <c r="E72" s="32" t="s">
        <v>194</v>
      </c>
      <c r="F72" s="35">
        <f t="shared" si="6"/>
        <v>563000</v>
      </c>
      <c r="G72" s="75"/>
      <c r="H72" s="75"/>
      <c r="I72" s="75">
        <v>560000</v>
      </c>
      <c r="J72" s="75"/>
      <c r="K72" s="75">
        <v>3000</v>
      </c>
      <c r="L72" s="35">
        <f t="shared" si="7"/>
        <v>563000</v>
      </c>
      <c r="M72" s="75"/>
      <c r="N72" s="75"/>
      <c r="O72" s="75">
        <v>560000</v>
      </c>
      <c r="P72" s="75"/>
      <c r="Q72" s="75">
        <v>3000</v>
      </c>
      <c r="R72" s="3">
        <v>408850.92</v>
      </c>
      <c r="S72" s="3">
        <v>8663.24</v>
      </c>
      <c r="T72" s="202">
        <f t="shared" si="2"/>
        <v>0.7300909285714285</v>
      </c>
      <c r="U72" s="203">
        <f t="shared" si="3"/>
        <v>2.8877466666666667</v>
      </c>
      <c r="X72" s="1">
        <f>+X69-X71</f>
        <v>1151656.65</v>
      </c>
    </row>
    <row r="73" spans="1:21" s="1" customFormat="1" ht="19.5" customHeight="1" hidden="1">
      <c r="A73" s="104"/>
      <c r="B73" s="278"/>
      <c r="C73" s="110" t="s">
        <v>195</v>
      </c>
      <c r="D73" s="11">
        <v>421325</v>
      </c>
      <c r="E73" s="32" t="s">
        <v>196</v>
      </c>
      <c r="F73" s="35">
        <f t="shared" si="6"/>
        <v>3640644</v>
      </c>
      <c r="G73" s="75"/>
      <c r="H73" s="75"/>
      <c r="I73" s="75">
        <f>3960000-330000+10644</f>
        <v>3640644</v>
      </c>
      <c r="J73" s="75"/>
      <c r="K73" s="75"/>
      <c r="L73" s="35">
        <f t="shared" si="7"/>
        <v>3640644</v>
      </c>
      <c r="M73" s="75"/>
      <c r="N73" s="75"/>
      <c r="O73" s="75">
        <f>3960000-330000+10644</f>
        <v>3640644</v>
      </c>
      <c r="P73" s="75"/>
      <c r="Q73" s="75"/>
      <c r="R73" s="3">
        <v>2650644</v>
      </c>
      <c r="S73" s="3"/>
      <c r="T73" s="202">
        <f t="shared" si="2"/>
        <v>0.7280700886985929</v>
      </c>
      <c r="U73" s="202" t="e">
        <f t="shared" si="3"/>
        <v>#DIV/0!</v>
      </c>
    </row>
    <row r="74" spans="1:21" s="1" customFormat="1" ht="24.75" customHeight="1">
      <c r="A74" s="104"/>
      <c r="B74" s="279"/>
      <c r="C74" s="92" t="s">
        <v>77</v>
      </c>
      <c r="D74" s="36">
        <v>421400</v>
      </c>
      <c r="E74" s="151" t="s">
        <v>197</v>
      </c>
      <c r="F74" s="38">
        <f t="shared" si="6"/>
        <v>3205100</v>
      </c>
      <c r="G74" s="146"/>
      <c r="H74" s="146"/>
      <c r="I74" s="146">
        <f>+I75+I78+I80+I77+I79+I76</f>
        <v>2640100</v>
      </c>
      <c r="J74" s="146"/>
      <c r="K74" s="146">
        <f>+K75+K78+K80+K77+K79+K81</f>
        <v>565000</v>
      </c>
      <c r="L74" s="38">
        <f t="shared" si="7"/>
        <v>3205100</v>
      </c>
      <c r="M74" s="146"/>
      <c r="N74" s="146"/>
      <c r="O74" s="146">
        <f>+O75+O78+O80+O77+O79+O76</f>
        <v>2640100</v>
      </c>
      <c r="P74" s="146"/>
      <c r="Q74" s="146">
        <f>+Q75+Q78+Q80+Q77+Q79+Q81</f>
        <v>565000</v>
      </c>
      <c r="R74" s="3"/>
      <c r="S74" s="3"/>
      <c r="T74" s="202">
        <f t="shared" si="2"/>
        <v>0</v>
      </c>
      <c r="U74" s="202">
        <f t="shared" si="3"/>
        <v>0</v>
      </c>
    </row>
    <row r="75" spans="1:21" s="1" customFormat="1" ht="19.5" customHeight="1" hidden="1">
      <c r="A75" s="104"/>
      <c r="B75" s="324"/>
      <c r="C75" s="110" t="s">
        <v>198</v>
      </c>
      <c r="D75" s="11">
        <v>421411</v>
      </c>
      <c r="E75" s="32" t="s">
        <v>199</v>
      </c>
      <c r="F75" s="35">
        <f t="shared" si="6"/>
        <v>1020000</v>
      </c>
      <c r="G75" s="75"/>
      <c r="H75" s="75"/>
      <c r="I75" s="75">
        <v>1020000</v>
      </c>
      <c r="J75" s="75"/>
      <c r="K75" s="75"/>
      <c r="L75" s="35">
        <f t="shared" si="7"/>
        <v>1020000</v>
      </c>
      <c r="M75" s="75"/>
      <c r="N75" s="75"/>
      <c r="O75" s="75">
        <v>1020000</v>
      </c>
      <c r="P75" s="75"/>
      <c r="Q75" s="75"/>
      <c r="R75" s="3">
        <v>688473.49</v>
      </c>
      <c r="S75" s="3"/>
      <c r="T75" s="202">
        <f t="shared" si="2"/>
        <v>0.6749740098039215</v>
      </c>
      <c r="U75" s="202" t="e">
        <f t="shared" si="3"/>
        <v>#DIV/0!</v>
      </c>
    </row>
    <row r="76" spans="1:21" s="1" customFormat="1" ht="19.5" customHeight="1" hidden="1">
      <c r="A76" s="104"/>
      <c r="B76" s="324"/>
      <c r="C76" s="110" t="s">
        <v>200</v>
      </c>
      <c r="D76" s="11">
        <v>42141101</v>
      </c>
      <c r="E76" s="32" t="s">
        <v>201</v>
      </c>
      <c r="F76" s="35">
        <f t="shared" si="6"/>
        <v>92000</v>
      </c>
      <c r="G76" s="75"/>
      <c r="H76" s="75"/>
      <c r="I76" s="75">
        <v>92000</v>
      </c>
      <c r="J76" s="75"/>
      <c r="K76" s="75"/>
      <c r="L76" s="35">
        <f t="shared" si="7"/>
        <v>92000</v>
      </c>
      <c r="M76" s="75"/>
      <c r="N76" s="75"/>
      <c r="O76" s="75">
        <v>92000</v>
      </c>
      <c r="P76" s="75"/>
      <c r="Q76" s="75"/>
      <c r="R76" s="3">
        <v>68716.98</v>
      </c>
      <c r="S76" s="3"/>
      <c r="T76" s="202">
        <f t="shared" si="2"/>
        <v>0.7469236956521739</v>
      </c>
      <c r="U76" s="202" t="e">
        <f t="shared" si="3"/>
        <v>#DIV/0!</v>
      </c>
    </row>
    <row r="77" spans="1:21" s="1" customFormat="1" ht="19.5" customHeight="1" hidden="1">
      <c r="A77" s="104"/>
      <c r="B77" s="324"/>
      <c r="C77" s="110" t="s">
        <v>202</v>
      </c>
      <c r="D77" s="11">
        <v>421412</v>
      </c>
      <c r="E77" s="32" t="s">
        <v>203</v>
      </c>
      <c r="F77" s="35">
        <f t="shared" si="6"/>
        <v>1400000</v>
      </c>
      <c r="G77" s="75"/>
      <c r="H77" s="75"/>
      <c r="I77" s="75">
        <v>900000</v>
      </c>
      <c r="J77" s="75"/>
      <c r="K77" s="75">
        <v>500000</v>
      </c>
      <c r="L77" s="35">
        <f t="shared" si="7"/>
        <v>1400000</v>
      </c>
      <c r="M77" s="75"/>
      <c r="N77" s="75"/>
      <c r="O77" s="75">
        <v>900000</v>
      </c>
      <c r="P77" s="75"/>
      <c r="Q77" s="75">
        <v>500000</v>
      </c>
      <c r="R77" s="3">
        <v>797980.41</v>
      </c>
      <c r="S77" s="3"/>
      <c r="T77" s="203">
        <f t="shared" si="2"/>
        <v>0.8866449000000001</v>
      </c>
      <c r="U77" s="202">
        <f t="shared" si="3"/>
        <v>0</v>
      </c>
    </row>
    <row r="78" spans="1:21" s="157" customFormat="1" ht="19.5" customHeight="1" hidden="1">
      <c r="A78" s="156"/>
      <c r="B78" s="324"/>
      <c r="C78" s="110" t="s">
        <v>204</v>
      </c>
      <c r="D78" s="11">
        <v>421414</v>
      </c>
      <c r="E78" s="32" t="s">
        <v>205</v>
      </c>
      <c r="F78" s="35">
        <f t="shared" si="6"/>
        <v>380000</v>
      </c>
      <c r="G78" s="75"/>
      <c r="H78" s="75"/>
      <c r="I78" s="75">
        <v>350000</v>
      </c>
      <c r="J78" s="75"/>
      <c r="K78" s="75">
        <v>30000</v>
      </c>
      <c r="L78" s="35">
        <f t="shared" si="7"/>
        <v>380000</v>
      </c>
      <c r="M78" s="75"/>
      <c r="N78" s="75"/>
      <c r="O78" s="75">
        <v>350000</v>
      </c>
      <c r="P78" s="75"/>
      <c r="Q78" s="75">
        <v>30000</v>
      </c>
      <c r="R78" s="235">
        <v>72216.9</v>
      </c>
      <c r="S78" s="190"/>
      <c r="T78" s="202">
        <f t="shared" si="2"/>
        <v>0.206334</v>
      </c>
      <c r="U78" s="202">
        <f t="shared" si="3"/>
        <v>0</v>
      </c>
    </row>
    <row r="79" spans="1:21" s="1" customFormat="1" ht="19.5" customHeight="1" hidden="1">
      <c r="A79" s="104"/>
      <c r="B79" s="324"/>
      <c r="C79" s="110" t="s">
        <v>206</v>
      </c>
      <c r="D79" s="11">
        <v>421421</v>
      </c>
      <c r="E79" s="32" t="s">
        <v>207</v>
      </c>
      <c r="F79" s="35">
        <f t="shared" si="6"/>
        <v>275100</v>
      </c>
      <c r="G79" s="75"/>
      <c r="H79" s="75"/>
      <c r="I79" s="75">
        <v>275100</v>
      </c>
      <c r="J79" s="75"/>
      <c r="K79" s="75"/>
      <c r="L79" s="35">
        <f t="shared" si="7"/>
        <v>275100</v>
      </c>
      <c r="M79" s="75"/>
      <c r="N79" s="75"/>
      <c r="O79" s="75">
        <v>275100</v>
      </c>
      <c r="P79" s="75"/>
      <c r="Q79" s="75"/>
      <c r="R79" s="3">
        <v>183263.4</v>
      </c>
      <c r="S79" s="3"/>
      <c r="T79" s="202">
        <f t="shared" si="2"/>
        <v>0.6661701199563794</v>
      </c>
      <c r="U79" s="202" t="e">
        <f t="shared" si="3"/>
        <v>#DIV/0!</v>
      </c>
    </row>
    <row r="80" spans="1:21" s="1" customFormat="1" ht="19.5" customHeight="1" hidden="1">
      <c r="A80" s="104"/>
      <c r="B80" s="324"/>
      <c r="C80" s="110" t="s">
        <v>208</v>
      </c>
      <c r="D80" s="11">
        <v>421429</v>
      </c>
      <c r="E80" s="32" t="s">
        <v>209</v>
      </c>
      <c r="F80" s="35">
        <f t="shared" si="6"/>
        <v>3000</v>
      </c>
      <c r="G80" s="75"/>
      <c r="H80" s="75"/>
      <c r="I80" s="75">
        <v>3000</v>
      </c>
      <c r="J80" s="75"/>
      <c r="K80" s="75"/>
      <c r="L80" s="35">
        <f t="shared" si="7"/>
        <v>3000</v>
      </c>
      <c r="M80" s="75"/>
      <c r="N80" s="75"/>
      <c r="O80" s="75">
        <v>3000</v>
      </c>
      <c r="P80" s="75"/>
      <c r="Q80" s="75"/>
      <c r="R80" s="3"/>
      <c r="S80" s="3"/>
      <c r="T80" s="202">
        <f t="shared" si="2"/>
        <v>0</v>
      </c>
      <c r="U80" s="202" t="e">
        <f t="shared" si="3"/>
        <v>#DIV/0!</v>
      </c>
    </row>
    <row r="81" spans="1:21" s="3" customFormat="1" ht="19.5" customHeight="1" hidden="1">
      <c r="A81" s="104"/>
      <c r="B81" s="278"/>
      <c r="C81" s="110" t="s">
        <v>210</v>
      </c>
      <c r="D81" s="11">
        <v>421419</v>
      </c>
      <c r="E81" s="32" t="s">
        <v>211</v>
      </c>
      <c r="F81" s="35">
        <f>+K81</f>
        <v>35000</v>
      </c>
      <c r="G81" s="75"/>
      <c r="H81" s="75"/>
      <c r="I81" s="75"/>
      <c r="J81" s="75"/>
      <c r="K81" s="75">
        <v>35000</v>
      </c>
      <c r="L81" s="35">
        <f>+Q81</f>
        <v>35000</v>
      </c>
      <c r="M81" s="75"/>
      <c r="N81" s="75"/>
      <c r="O81" s="75"/>
      <c r="P81" s="75"/>
      <c r="Q81" s="75">
        <v>35000</v>
      </c>
      <c r="S81" s="3">
        <v>19220.58</v>
      </c>
      <c r="T81" s="202" t="e">
        <f t="shared" si="2"/>
        <v>#DIV/0!</v>
      </c>
      <c r="U81" s="202">
        <f t="shared" si="3"/>
        <v>0.5491594285714286</v>
      </c>
    </row>
    <row r="82" spans="1:21" s="3" customFormat="1" ht="24.75" customHeight="1">
      <c r="A82" s="104"/>
      <c r="B82" s="279"/>
      <c r="C82" s="276" t="s">
        <v>78</v>
      </c>
      <c r="D82" s="247">
        <v>421500</v>
      </c>
      <c r="E82" s="251" t="s">
        <v>212</v>
      </c>
      <c r="F82" s="249">
        <f>SUM(G82:K82)</f>
        <v>1474785.99</v>
      </c>
      <c r="G82" s="252"/>
      <c r="H82" s="252"/>
      <c r="I82" s="252">
        <f>+I83+I84+I86+I85</f>
        <v>1409785.99</v>
      </c>
      <c r="J82" s="252">
        <f>+J83</f>
        <v>60000</v>
      </c>
      <c r="K82" s="252">
        <f>+K83+K84+K86+K85</f>
        <v>5000</v>
      </c>
      <c r="L82" s="249">
        <f>SUM(M82:Q82)</f>
        <v>1974785.99</v>
      </c>
      <c r="M82" s="252"/>
      <c r="N82" s="252"/>
      <c r="O82" s="252">
        <f>+O83+O84+O86+O85</f>
        <v>1909785.99</v>
      </c>
      <c r="P82" s="252">
        <f>+P83</f>
        <v>60000</v>
      </c>
      <c r="Q82" s="252">
        <f>+Q83+Q84+Q86+Q85</f>
        <v>5000</v>
      </c>
      <c r="T82" s="202">
        <f t="shared" si="2"/>
        <v>0</v>
      </c>
      <c r="U82" s="202">
        <f t="shared" si="3"/>
        <v>0</v>
      </c>
    </row>
    <row r="83" spans="1:21" s="3" customFormat="1" ht="19.5" customHeight="1" hidden="1">
      <c r="A83" s="104"/>
      <c r="B83" s="324"/>
      <c r="C83" s="253" t="s">
        <v>213</v>
      </c>
      <c r="D83" s="254">
        <v>421512</v>
      </c>
      <c r="E83" s="255" t="s">
        <v>214</v>
      </c>
      <c r="F83" s="256">
        <f>SUM(G83:K83)</f>
        <v>731331</v>
      </c>
      <c r="G83" s="257"/>
      <c r="H83" s="257"/>
      <c r="I83" s="257">
        <f>639673+31658</f>
        <v>671331</v>
      </c>
      <c r="J83" s="257">
        <v>60000</v>
      </c>
      <c r="K83" s="257"/>
      <c r="L83" s="256">
        <f>SUM(M83:Q83)</f>
        <v>1231331</v>
      </c>
      <c r="M83" s="257"/>
      <c r="N83" s="257"/>
      <c r="O83" s="257">
        <f>639673+31658+500000</f>
        <v>1171331</v>
      </c>
      <c r="P83" s="257">
        <v>60000</v>
      </c>
      <c r="Q83" s="257"/>
      <c r="R83" s="3">
        <v>519223.75</v>
      </c>
      <c r="T83" s="202">
        <f t="shared" si="2"/>
        <v>0.4432767082916784</v>
      </c>
      <c r="U83" s="202" t="e">
        <f t="shared" si="3"/>
        <v>#DIV/0!</v>
      </c>
    </row>
    <row r="84" spans="1:21" s="3" customFormat="1" ht="19.5" customHeight="1" hidden="1">
      <c r="A84" s="104"/>
      <c r="B84" s="324"/>
      <c r="C84" s="110" t="s">
        <v>215</v>
      </c>
      <c r="D84" s="11">
        <v>421513</v>
      </c>
      <c r="E84" s="158" t="s">
        <v>216</v>
      </c>
      <c r="F84" s="35">
        <f>SUM(G84:K84)</f>
        <v>132158</v>
      </c>
      <c r="G84" s="75"/>
      <c r="H84" s="75"/>
      <c r="I84" s="75">
        <v>132158</v>
      </c>
      <c r="J84" s="75"/>
      <c r="K84" s="75"/>
      <c r="L84" s="35">
        <f>SUM(M84:Q84)</f>
        <v>132158</v>
      </c>
      <c r="M84" s="75"/>
      <c r="N84" s="75"/>
      <c r="O84" s="75">
        <v>132158</v>
      </c>
      <c r="P84" s="75"/>
      <c r="Q84" s="75"/>
      <c r="R84" s="3">
        <v>125979.65</v>
      </c>
      <c r="T84" s="203">
        <f t="shared" si="2"/>
        <v>0.9532502761845669</v>
      </c>
      <c r="U84" s="202" t="e">
        <f t="shared" si="3"/>
        <v>#DIV/0!</v>
      </c>
    </row>
    <row r="85" spans="1:21" s="3" customFormat="1" ht="19.5" customHeight="1" hidden="1">
      <c r="A85" s="104"/>
      <c r="B85" s="324"/>
      <c r="C85" s="110" t="s">
        <v>217</v>
      </c>
      <c r="D85" s="11">
        <v>421519</v>
      </c>
      <c r="E85" s="158" t="s">
        <v>218</v>
      </c>
      <c r="F85" s="35">
        <f>SUM(G85:K85)</f>
        <v>261692</v>
      </c>
      <c r="G85" s="75"/>
      <c r="H85" s="75"/>
      <c r="I85" s="75">
        <v>261692</v>
      </c>
      <c r="J85" s="75"/>
      <c r="K85" s="75"/>
      <c r="L85" s="35">
        <f>SUM(M85:Q85)</f>
        <v>261692</v>
      </c>
      <c r="M85" s="75"/>
      <c r="N85" s="75"/>
      <c r="O85" s="75">
        <v>261692</v>
      </c>
      <c r="P85" s="75"/>
      <c r="Q85" s="75"/>
      <c r="R85" s="3">
        <v>160456.13</v>
      </c>
      <c r="T85" s="202">
        <f t="shared" si="2"/>
        <v>0.6131487779527078</v>
      </c>
      <c r="U85" s="202" t="e">
        <f t="shared" si="3"/>
        <v>#DIV/0!</v>
      </c>
    </row>
    <row r="86" spans="1:21" s="3" customFormat="1" ht="24" customHeight="1" hidden="1">
      <c r="A86" s="104"/>
      <c r="B86" s="324"/>
      <c r="C86" s="110" t="s">
        <v>219</v>
      </c>
      <c r="D86" s="11">
        <v>421521</v>
      </c>
      <c r="E86" s="158" t="s">
        <v>220</v>
      </c>
      <c r="F86" s="35">
        <f>SUM(G86:K86)</f>
        <v>349604.99</v>
      </c>
      <c r="G86" s="75"/>
      <c r="H86" s="75"/>
      <c r="I86" s="75">
        <f>344604.99</f>
        <v>344604.99</v>
      </c>
      <c r="J86" s="75"/>
      <c r="K86" s="75">
        <v>5000</v>
      </c>
      <c r="L86" s="35">
        <f>SUM(M86:Q86)</f>
        <v>349604.99</v>
      </c>
      <c r="M86" s="75"/>
      <c r="N86" s="75"/>
      <c r="O86" s="75">
        <f>344604.99</f>
        <v>344604.99</v>
      </c>
      <c r="P86" s="75"/>
      <c r="Q86" s="75">
        <v>5000</v>
      </c>
      <c r="R86" s="3">
        <v>260601.65</v>
      </c>
      <c r="T86" s="202">
        <f t="shared" si="2"/>
        <v>0.7562329553034041</v>
      </c>
      <c r="U86" s="202">
        <f t="shared" si="3"/>
        <v>0</v>
      </c>
    </row>
    <row r="87" spans="1:21" s="3" customFormat="1" ht="24.75" customHeight="1">
      <c r="A87" s="104"/>
      <c r="B87" s="280"/>
      <c r="C87" s="92" t="s">
        <v>79</v>
      </c>
      <c r="D87" s="36">
        <v>421600</v>
      </c>
      <c r="E87" s="151" t="s">
        <v>221</v>
      </c>
      <c r="F87" s="38">
        <f>+I87+K87</f>
        <v>225000</v>
      </c>
      <c r="G87" s="75"/>
      <c r="H87" s="146"/>
      <c r="I87" s="146">
        <f>+I88</f>
        <v>125000</v>
      </c>
      <c r="J87" s="146"/>
      <c r="K87" s="146">
        <f>+K88</f>
        <v>100000</v>
      </c>
      <c r="L87" s="38">
        <f>+O87+Q87</f>
        <v>225000</v>
      </c>
      <c r="M87" s="75"/>
      <c r="N87" s="146"/>
      <c r="O87" s="146">
        <f>+O88</f>
        <v>125000</v>
      </c>
      <c r="P87" s="146"/>
      <c r="Q87" s="146">
        <f>+Q88</f>
        <v>100000</v>
      </c>
      <c r="T87" s="202">
        <f t="shared" si="2"/>
        <v>0</v>
      </c>
      <c r="U87" s="202">
        <f t="shared" si="3"/>
        <v>0</v>
      </c>
    </row>
    <row r="88" spans="1:21" s="3" customFormat="1" ht="27.75" customHeight="1" hidden="1">
      <c r="A88" s="105"/>
      <c r="B88" s="166"/>
      <c r="C88" s="94" t="s">
        <v>222</v>
      </c>
      <c r="D88" s="11">
        <v>421625</v>
      </c>
      <c r="E88" s="95" t="s">
        <v>223</v>
      </c>
      <c r="F88" s="35">
        <f>SUM(G88:K88)</f>
        <v>225000</v>
      </c>
      <c r="G88" s="146"/>
      <c r="H88" s="146"/>
      <c r="I88" s="75">
        <v>125000</v>
      </c>
      <c r="J88" s="75"/>
      <c r="K88" s="75">
        <v>100000</v>
      </c>
      <c r="L88" s="35">
        <f>SUM(M88:Q88)</f>
        <v>225000</v>
      </c>
      <c r="M88" s="146"/>
      <c r="N88" s="146"/>
      <c r="O88" s="75">
        <v>125000</v>
      </c>
      <c r="P88" s="75"/>
      <c r="Q88" s="75">
        <v>100000</v>
      </c>
      <c r="S88" s="3">
        <v>93931.2</v>
      </c>
      <c r="T88" s="202">
        <f t="shared" si="2"/>
        <v>0</v>
      </c>
      <c r="U88" s="203">
        <f t="shared" si="3"/>
        <v>0.9393119999999999</v>
      </c>
    </row>
    <row r="89" spans="1:25" s="3" customFormat="1" ht="21" customHeight="1">
      <c r="A89" s="39">
        <v>2</v>
      </c>
      <c r="B89" s="36">
        <v>422000</v>
      </c>
      <c r="C89" s="11"/>
      <c r="D89" s="309" t="s">
        <v>80</v>
      </c>
      <c r="E89" s="309"/>
      <c r="F89" s="38">
        <f>SUM(G89:K89)</f>
        <v>1605000</v>
      </c>
      <c r="G89" s="78"/>
      <c r="H89" s="78"/>
      <c r="I89" s="38">
        <f>+I92</f>
        <v>1360000</v>
      </c>
      <c r="J89" s="38"/>
      <c r="K89" s="38">
        <f>+K92</f>
        <v>245000</v>
      </c>
      <c r="L89" s="38">
        <f>SUM(M89:Q89)</f>
        <v>1676144</v>
      </c>
      <c r="M89" s="78"/>
      <c r="N89" s="78"/>
      <c r="O89" s="38">
        <f>+O92+O90</f>
        <v>1431144</v>
      </c>
      <c r="P89" s="38"/>
      <c r="Q89" s="38">
        <f>+Q92</f>
        <v>245000</v>
      </c>
      <c r="T89" s="202">
        <f t="shared" si="2"/>
        <v>0</v>
      </c>
      <c r="U89" s="202">
        <f t="shared" si="3"/>
        <v>0</v>
      </c>
      <c r="Y89" s="135"/>
    </row>
    <row r="90" spans="1:25" s="3" customFormat="1" ht="21" customHeight="1">
      <c r="A90" s="128"/>
      <c r="B90" s="36"/>
      <c r="C90" s="254" t="s">
        <v>81</v>
      </c>
      <c r="D90" s="259">
        <v>422100</v>
      </c>
      <c r="E90" s="260" t="s">
        <v>459</v>
      </c>
      <c r="F90" s="249"/>
      <c r="G90" s="250"/>
      <c r="H90" s="250"/>
      <c r="I90" s="249"/>
      <c r="J90" s="249"/>
      <c r="K90" s="249"/>
      <c r="L90" s="249">
        <f>+M90+N90+O90+P90+Q90</f>
        <v>18644</v>
      </c>
      <c r="M90" s="250"/>
      <c r="N90" s="250"/>
      <c r="O90" s="249">
        <f>+O91</f>
        <v>18644</v>
      </c>
      <c r="P90" s="249"/>
      <c r="Q90" s="249"/>
      <c r="T90" s="202"/>
      <c r="U90" s="202"/>
      <c r="Y90" s="135"/>
    </row>
    <row r="91" spans="1:25" s="3" customFormat="1" ht="21" customHeight="1" hidden="1">
      <c r="A91" s="128"/>
      <c r="B91" s="36"/>
      <c r="C91" s="11"/>
      <c r="D91" s="214">
        <v>422131</v>
      </c>
      <c r="E91" s="215" t="s">
        <v>459</v>
      </c>
      <c r="F91" s="207"/>
      <c r="G91" s="216"/>
      <c r="H91" s="216"/>
      <c r="I91" s="207"/>
      <c r="J91" s="207"/>
      <c r="K91" s="207"/>
      <c r="L91" s="207"/>
      <c r="M91" s="216"/>
      <c r="N91" s="216"/>
      <c r="O91" s="207">
        <v>18644</v>
      </c>
      <c r="P91" s="207"/>
      <c r="Q91" s="207"/>
      <c r="T91" s="202"/>
      <c r="U91" s="202"/>
      <c r="Y91" s="135"/>
    </row>
    <row r="92" spans="1:21" s="3" customFormat="1" ht="24.75" customHeight="1">
      <c r="A92" s="107"/>
      <c r="B92" s="108"/>
      <c r="C92" s="261" t="s">
        <v>458</v>
      </c>
      <c r="D92" s="247">
        <v>422300</v>
      </c>
      <c r="E92" s="251" t="s">
        <v>82</v>
      </c>
      <c r="F92" s="249">
        <f>+G92+H92+I92+K92</f>
        <v>1605000</v>
      </c>
      <c r="G92" s="252"/>
      <c r="H92" s="252"/>
      <c r="I92" s="252">
        <f>+I94+I97+I93+I95+I96</f>
        <v>1360000</v>
      </c>
      <c r="J92" s="252"/>
      <c r="K92" s="252">
        <f>+K95+K93+K96+K94</f>
        <v>245000</v>
      </c>
      <c r="L92" s="249">
        <f>+M92+N92+O92+Q92</f>
        <v>1657500</v>
      </c>
      <c r="M92" s="252"/>
      <c r="N92" s="252"/>
      <c r="O92" s="252">
        <f>+O94+O97+O93+O95+O96</f>
        <v>1412500</v>
      </c>
      <c r="P92" s="252"/>
      <c r="Q92" s="252">
        <f>+Q95+Q93+Q96+Q94</f>
        <v>245000</v>
      </c>
      <c r="T92" s="202">
        <f t="shared" si="2"/>
        <v>0</v>
      </c>
      <c r="U92" s="202">
        <f t="shared" si="3"/>
        <v>0</v>
      </c>
    </row>
    <row r="93" spans="1:21" s="3" customFormat="1" ht="24.75" customHeight="1" hidden="1">
      <c r="A93" s="107"/>
      <c r="B93" s="132"/>
      <c r="C93" s="109" t="s">
        <v>224</v>
      </c>
      <c r="D93" s="11">
        <v>422311</v>
      </c>
      <c r="E93" s="32" t="s">
        <v>225</v>
      </c>
      <c r="F93" s="35">
        <f>+H93+I93+K93</f>
        <v>1200500</v>
      </c>
      <c r="G93" s="75"/>
      <c r="H93" s="75"/>
      <c r="I93" s="75">
        <f>975000+15500</f>
        <v>990500</v>
      </c>
      <c r="J93" s="75"/>
      <c r="K93" s="75">
        <v>210000</v>
      </c>
      <c r="L93" s="35">
        <f>+N93+O93+Q93</f>
        <v>1200500</v>
      </c>
      <c r="M93" s="75"/>
      <c r="N93" s="75"/>
      <c r="O93" s="75">
        <f>975000+15500</f>
        <v>990500</v>
      </c>
      <c r="P93" s="75"/>
      <c r="Q93" s="75">
        <v>210000</v>
      </c>
      <c r="R93" s="3">
        <f>707698.37-47259.24</f>
        <v>660439.13</v>
      </c>
      <c r="S93" s="3">
        <v>47259.24</v>
      </c>
      <c r="T93" s="202">
        <f t="shared" si="2"/>
        <v>0.6667734780413932</v>
      </c>
      <c r="U93" s="202">
        <f t="shared" si="3"/>
        <v>0.225044</v>
      </c>
    </row>
    <row r="94" spans="1:21" s="3" customFormat="1" ht="27.75" customHeight="1" hidden="1">
      <c r="A94" s="107"/>
      <c r="B94" s="160"/>
      <c r="C94" s="109" t="s">
        <v>226</v>
      </c>
      <c r="D94" s="11">
        <v>422321</v>
      </c>
      <c r="E94" s="32" t="s">
        <v>82</v>
      </c>
      <c r="F94" s="35">
        <f>+H94+I94+K94</f>
        <v>256000</v>
      </c>
      <c r="G94" s="75"/>
      <c r="H94" s="75"/>
      <c r="I94" s="75">
        <v>251000</v>
      </c>
      <c r="J94" s="75"/>
      <c r="K94" s="75">
        <v>5000</v>
      </c>
      <c r="L94" s="35">
        <f>+N94+O94+Q94</f>
        <v>256000</v>
      </c>
      <c r="M94" s="75"/>
      <c r="N94" s="75"/>
      <c r="O94" s="75">
        <v>251000</v>
      </c>
      <c r="P94" s="75"/>
      <c r="Q94" s="75">
        <v>5000</v>
      </c>
      <c r="R94" s="3">
        <v>207496</v>
      </c>
      <c r="T94" s="202">
        <f t="shared" si="2"/>
        <v>0.8266772908366534</v>
      </c>
      <c r="U94" s="202">
        <f t="shared" si="3"/>
        <v>0</v>
      </c>
    </row>
    <row r="95" spans="1:21" s="3" customFormat="1" ht="21.75" customHeight="1" hidden="1">
      <c r="A95" s="107"/>
      <c r="B95" s="160"/>
      <c r="C95" s="109" t="s">
        <v>227</v>
      </c>
      <c r="D95" s="11">
        <v>42232101</v>
      </c>
      <c r="E95" s="32" t="s">
        <v>228</v>
      </c>
      <c r="F95" s="35">
        <f>+H95+I95+K95</f>
        <v>66000</v>
      </c>
      <c r="G95" s="75"/>
      <c r="H95" s="75"/>
      <c r="I95" s="75">
        <v>36000</v>
      </c>
      <c r="J95" s="75"/>
      <c r="K95" s="75">
        <v>30000</v>
      </c>
      <c r="L95" s="35">
        <f>+N95+O95+Q95</f>
        <v>66000</v>
      </c>
      <c r="M95" s="75"/>
      <c r="N95" s="75"/>
      <c r="O95" s="75">
        <v>36000</v>
      </c>
      <c r="P95" s="75"/>
      <c r="Q95" s="75">
        <v>30000</v>
      </c>
      <c r="R95" s="3">
        <v>9735</v>
      </c>
      <c r="T95" s="202">
        <f t="shared" si="2"/>
        <v>0.2704166666666667</v>
      </c>
      <c r="U95" s="202">
        <f t="shared" si="3"/>
        <v>0</v>
      </c>
    </row>
    <row r="96" spans="1:21" s="3" customFormat="1" ht="24.75" customHeight="1" hidden="1">
      <c r="A96" s="107"/>
      <c r="B96" s="160"/>
      <c r="C96" s="109" t="s">
        <v>229</v>
      </c>
      <c r="D96" s="11">
        <v>42232102</v>
      </c>
      <c r="E96" s="32" t="s">
        <v>230</v>
      </c>
      <c r="F96" s="35">
        <f>+H96+I96+K96</f>
        <v>15000</v>
      </c>
      <c r="G96" s="75"/>
      <c r="H96" s="75"/>
      <c r="I96" s="75">
        <v>15000</v>
      </c>
      <c r="J96" s="75"/>
      <c r="K96" s="75"/>
      <c r="L96" s="35">
        <f>+N96+O96+Q96</f>
        <v>15000</v>
      </c>
      <c r="M96" s="75"/>
      <c r="N96" s="75"/>
      <c r="O96" s="75">
        <v>15000</v>
      </c>
      <c r="P96" s="75"/>
      <c r="Q96" s="75"/>
      <c r="R96" s="3">
        <v>7095.64</v>
      </c>
      <c r="T96" s="202">
        <f t="shared" si="2"/>
        <v>0.47304266666666667</v>
      </c>
      <c r="U96" s="202" t="e">
        <f t="shared" si="3"/>
        <v>#DIV/0!</v>
      </c>
    </row>
    <row r="97" spans="1:21" s="3" customFormat="1" ht="23.25" customHeight="1" hidden="1">
      <c r="A97" s="107"/>
      <c r="B97" s="160"/>
      <c r="C97" s="212" t="s">
        <v>231</v>
      </c>
      <c r="D97" s="205">
        <v>42232103</v>
      </c>
      <c r="E97" s="206" t="s">
        <v>232</v>
      </c>
      <c r="F97" s="207">
        <f>+H97+I97+K97</f>
        <v>67500</v>
      </c>
      <c r="G97" s="208"/>
      <c r="H97" s="208"/>
      <c r="I97" s="208">
        <v>67500</v>
      </c>
      <c r="J97" s="208"/>
      <c r="K97" s="208"/>
      <c r="L97" s="207">
        <f>+N97+O97+Q97</f>
        <v>120000</v>
      </c>
      <c r="M97" s="208"/>
      <c r="N97" s="208"/>
      <c r="O97" s="208">
        <v>120000</v>
      </c>
      <c r="P97" s="208"/>
      <c r="Q97" s="208"/>
      <c r="R97" s="3">
        <v>87406.03</v>
      </c>
      <c r="T97" s="203">
        <f t="shared" si="2"/>
        <v>0.7283835833333333</v>
      </c>
      <c r="U97" s="202" t="e">
        <f t="shared" si="3"/>
        <v>#DIV/0!</v>
      </c>
    </row>
    <row r="98" spans="1:21" s="3" customFormat="1" ht="23.25" customHeight="1">
      <c r="A98" s="68">
        <v>3</v>
      </c>
      <c r="B98" s="36">
        <v>423000</v>
      </c>
      <c r="C98" s="11"/>
      <c r="D98" s="326" t="s">
        <v>83</v>
      </c>
      <c r="E98" s="326"/>
      <c r="F98" s="38">
        <f>SUM(G98:K98)</f>
        <v>9360000</v>
      </c>
      <c r="G98" s="78"/>
      <c r="H98" s="78"/>
      <c r="I98" s="38">
        <f>+I99+I101+I103+I107+I109+I114+I116+I119</f>
        <v>6125000</v>
      </c>
      <c r="J98" s="38">
        <f>+J99+J101+J103+J107+J109+J114+J116+J119</f>
        <v>5000</v>
      </c>
      <c r="K98" s="38">
        <f>+K99+K101+K103+K107+K109+K114+K116+K119</f>
        <v>3230000</v>
      </c>
      <c r="L98" s="38">
        <f>SUM(M98:Q98)</f>
        <v>9644000</v>
      </c>
      <c r="M98" s="78"/>
      <c r="N98" s="78"/>
      <c r="O98" s="38">
        <f>+O99+O101+O103+O107+O109+O114+O116+O119</f>
        <v>6159000</v>
      </c>
      <c r="P98" s="38">
        <f>+P99+P101+P103+P107+P109+P114+P116+P119</f>
        <v>5000</v>
      </c>
      <c r="Q98" s="38">
        <f>+Q99+Q101+Q103+Q107+Q109+Q114+Q116+Q119</f>
        <v>3480000</v>
      </c>
      <c r="T98" s="202">
        <f t="shared" si="2"/>
        <v>0</v>
      </c>
      <c r="U98" s="202">
        <f t="shared" si="3"/>
        <v>0</v>
      </c>
    </row>
    <row r="99" spans="1:21" s="3" customFormat="1" ht="24.75" customHeight="1">
      <c r="A99" s="91"/>
      <c r="B99" s="162"/>
      <c r="C99" s="261" t="s">
        <v>84</v>
      </c>
      <c r="D99" s="247">
        <v>423100</v>
      </c>
      <c r="E99" s="262" t="s">
        <v>85</v>
      </c>
      <c r="F99" s="249">
        <f>SUM(G99:K99)</f>
        <v>1900000</v>
      </c>
      <c r="G99" s="250"/>
      <c r="H99" s="250"/>
      <c r="I99" s="249">
        <f>+I100</f>
        <v>800000</v>
      </c>
      <c r="J99" s="249"/>
      <c r="K99" s="249">
        <f>+K100</f>
        <v>1100000</v>
      </c>
      <c r="L99" s="249">
        <f>SUM(M99:Q99)</f>
        <v>1934000</v>
      </c>
      <c r="M99" s="250"/>
      <c r="N99" s="250"/>
      <c r="O99" s="249">
        <f>+O100</f>
        <v>834000</v>
      </c>
      <c r="P99" s="249"/>
      <c r="Q99" s="249">
        <f>+Q100</f>
        <v>1100000</v>
      </c>
      <c r="T99" s="202">
        <f t="shared" si="2"/>
        <v>0</v>
      </c>
      <c r="U99" s="202">
        <f t="shared" si="3"/>
        <v>0</v>
      </c>
    </row>
    <row r="100" spans="1:21" s="3" customFormat="1" ht="24.75" customHeight="1" hidden="1">
      <c r="A100" s="68"/>
      <c r="B100" s="162"/>
      <c r="C100" s="212" t="s">
        <v>233</v>
      </c>
      <c r="D100" s="205">
        <v>423191</v>
      </c>
      <c r="E100" s="223" t="s">
        <v>234</v>
      </c>
      <c r="F100" s="207">
        <f>SUM(G100:K100)</f>
        <v>1900000</v>
      </c>
      <c r="G100" s="208"/>
      <c r="H100" s="208"/>
      <c r="I100" s="208">
        <v>800000</v>
      </c>
      <c r="J100" s="208"/>
      <c r="K100" s="208">
        <f>1500000-400000</f>
        <v>1100000</v>
      </c>
      <c r="L100" s="207">
        <f>SUM(M100:Q100)</f>
        <v>1934000</v>
      </c>
      <c r="M100" s="208"/>
      <c r="N100" s="208"/>
      <c r="O100" s="208">
        <v>834000</v>
      </c>
      <c r="P100" s="208"/>
      <c r="Q100" s="208">
        <f>1500000-400000</f>
        <v>1100000</v>
      </c>
      <c r="R100" s="3">
        <v>833020.62</v>
      </c>
      <c r="S100" s="3">
        <v>913553.55</v>
      </c>
      <c r="T100" s="203">
        <f t="shared" si="2"/>
        <v>0.9988256834532374</v>
      </c>
      <c r="U100" s="202">
        <f t="shared" si="3"/>
        <v>0.8305032272727273</v>
      </c>
    </row>
    <row r="101" spans="1:21" s="3" customFormat="1" ht="24.75" customHeight="1">
      <c r="A101" s="107"/>
      <c r="B101" s="163"/>
      <c r="C101" s="108" t="s">
        <v>86</v>
      </c>
      <c r="D101" s="36">
        <v>423200</v>
      </c>
      <c r="E101" s="151" t="s">
        <v>87</v>
      </c>
      <c r="F101" s="38">
        <f>SUM(G101:K101)</f>
        <v>2400000</v>
      </c>
      <c r="G101" s="146"/>
      <c r="H101" s="146"/>
      <c r="I101" s="146">
        <f>+I102</f>
        <v>2400000</v>
      </c>
      <c r="J101" s="146"/>
      <c r="K101" s="146"/>
      <c r="L101" s="38">
        <f>SUM(M101:Q101)</f>
        <v>2400000</v>
      </c>
      <c r="M101" s="146"/>
      <c r="N101" s="146"/>
      <c r="O101" s="146">
        <f>+O102</f>
        <v>2400000</v>
      </c>
      <c r="P101" s="146"/>
      <c r="Q101" s="146"/>
      <c r="T101" s="202">
        <f t="shared" si="2"/>
        <v>0</v>
      </c>
      <c r="U101" s="202" t="e">
        <f t="shared" si="3"/>
        <v>#DIV/0!</v>
      </c>
    </row>
    <row r="102" spans="1:21" s="3" customFormat="1" ht="19.5" customHeight="1" hidden="1">
      <c r="A102" s="107"/>
      <c r="B102" s="154"/>
      <c r="C102" s="109" t="s">
        <v>235</v>
      </c>
      <c r="D102" s="11">
        <v>423212</v>
      </c>
      <c r="E102" s="32" t="s">
        <v>236</v>
      </c>
      <c r="F102" s="35">
        <f>+I102</f>
        <v>2400000</v>
      </c>
      <c r="G102" s="75"/>
      <c r="H102" s="75"/>
      <c r="I102" s="75">
        <v>2400000</v>
      </c>
      <c r="J102" s="75"/>
      <c r="K102" s="75"/>
      <c r="L102" s="35">
        <f>+O102</f>
        <v>2400000</v>
      </c>
      <c r="M102" s="75"/>
      <c r="N102" s="75"/>
      <c r="O102" s="75">
        <v>2400000</v>
      </c>
      <c r="P102" s="75"/>
      <c r="Q102" s="75"/>
      <c r="R102" s="3">
        <v>1702683.76</v>
      </c>
      <c r="T102" s="202">
        <f t="shared" si="2"/>
        <v>0.7094515666666666</v>
      </c>
      <c r="U102" s="202" t="e">
        <f t="shared" si="3"/>
        <v>#DIV/0!</v>
      </c>
    </row>
    <row r="103" spans="1:21" s="3" customFormat="1" ht="24.75" customHeight="1">
      <c r="A103" s="107"/>
      <c r="B103" s="163"/>
      <c r="C103" s="261" t="s">
        <v>88</v>
      </c>
      <c r="D103" s="247">
        <v>423300</v>
      </c>
      <c r="E103" s="251" t="s">
        <v>89</v>
      </c>
      <c r="F103" s="249">
        <f aca="true" t="shared" si="8" ref="F103:F116">SUM(G103:K103)</f>
        <v>1430000</v>
      </c>
      <c r="G103" s="252"/>
      <c r="H103" s="252"/>
      <c r="I103" s="252">
        <f>+I104+I106+I105</f>
        <v>1350000</v>
      </c>
      <c r="J103" s="252"/>
      <c r="K103" s="252">
        <f>+K104+K106+K105</f>
        <v>80000</v>
      </c>
      <c r="L103" s="249">
        <f aca="true" t="shared" si="9" ref="L103:L116">SUM(M103:Q103)</f>
        <v>1680000</v>
      </c>
      <c r="M103" s="252"/>
      <c r="N103" s="252"/>
      <c r="O103" s="252">
        <f>+O104+O106+O105</f>
        <v>1350000</v>
      </c>
      <c r="P103" s="252"/>
      <c r="Q103" s="252">
        <f>+Q104+Q106+Q105</f>
        <v>330000</v>
      </c>
      <c r="T103" s="202">
        <f t="shared" si="2"/>
        <v>0</v>
      </c>
      <c r="U103" s="202">
        <f t="shared" si="3"/>
        <v>0</v>
      </c>
    </row>
    <row r="104" spans="1:21" s="3" customFormat="1" ht="24.75" customHeight="1" hidden="1">
      <c r="A104" s="107"/>
      <c r="B104" s="320"/>
      <c r="C104" s="109" t="s">
        <v>237</v>
      </c>
      <c r="D104" s="11">
        <v>423311</v>
      </c>
      <c r="E104" s="32" t="s">
        <v>238</v>
      </c>
      <c r="F104" s="35">
        <f t="shared" si="8"/>
        <v>1220000</v>
      </c>
      <c r="G104" s="75"/>
      <c r="H104" s="75"/>
      <c r="I104" s="75">
        <v>1220000</v>
      </c>
      <c r="J104" s="75"/>
      <c r="K104" s="75"/>
      <c r="L104" s="35">
        <f t="shared" si="9"/>
        <v>1220000</v>
      </c>
      <c r="M104" s="75"/>
      <c r="N104" s="75"/>
      <c r="O104" s="75">
        <v>1220000</v>
      </c>
      <c r="P104" s="75"/>
      <c r="Q104" s="75"/>
      <c r="R104" s="3">
        <v>815000</v>
      </c>
      <c r="T104" s="202">
        <f t="shared" si="2"/>
        <v>0.6680327868852459</v>
      </c>
      <c r="U104" s="202" t="e">
        <f t="shared" si="3"/>
        <v>#DIV/0!</v>
      </c>
    </row>
    <row r="105" spans="1:21" s="3" customFormat="1" ht="19.5" customHeight="1" hidden="1">
      <c r="A105" s="107"/>
      <c r="B105" s="320"/>
      <c r="C105" s="240" t="s">
        <v>239</v>
      </c>
      <c r="D105" s="241">
        <v>42331101</v>
      </c>
      <c r="E105" s="242" t="s">
        <v>240</v>
      </c>
      <c r="F105" s="243">
        <f t="shared" si="8"/>
        <v>130000</v>
      </c>
      <c r="G105" s="244"/>
      <c r="H105" s="244"/>
      <c r="I105" s="244">
        <v>100000</v>
      </c>
      <c r="J105" s="244"/>
      <c r="K105" s="244">
        <v>30000</v>
      </c>
      <c r="L105" s="243">
        <f t="shared" si="9"/>
        <v>380000</v>
      </c>
      <c r="M105" s="244"/>
      <c r="N105" s="244"/>
      <c r="O105" s="244">
        <v>100000</v>
      </c>
      <c r="P105" s="244"/>
      <c r="Q105" s="244">
        <f>30000+250000</f>
        <v>280000</v>
      </c>
      <c r="R105" s="3">
        <v>74000</v>
      </c>
      <c r="T105" s="202">
        <f t="shared" si="2"/>
        <v>0.74</v>
      </c>
      <c r="U105" s="202">
        <f t="shared" si="3"/>
        <v>0</v>
      </c>
    </row>
    <row r="106" spans="1:21" s="3" customFormat="1" ht="19.5" customHeight="1" hidden="1">
      <c r="A106" s="107"/>
      <c r="B106" s="320"/>
      <c r="C106" s="109" t="s">
        <v>241</v>
      </c>
      <c r="D106" s="11">
        <v>423321</v>
      </c>
      <c r="E106" s="32" t="s">
        <v>242</v>
      </c>
      <c r="F106" s="35">
        <f t="shared" si="8"/>
        <v>80000</v>
      </c>
      <c r="G106" s="75"/>
      <c r="H106" s="75"/>
      <c r="I106" s="75">
        <v>30000</v>
      </c>
      <c r="J106" s="75"/>
      <c r="K106" s="75">
        <v>50000</v>
      </c>
      <c r="L106" s="35">
        <f t="shared" si="9"/>
        <v>80000</v>
      </c>
      <c r="M106" s="75"/>
      <c r="N106" s="75"/>
      <c r="O106" s="75">
        <v>30000</v>
      </c>
      <c r="P106" s="75"/>
      <c r="Q106" s="75">
        <v>50000</v>
      </c>
      <c r="R106" s="3">
        <v>12900</v>
      </c>
      <c r="S106" s="3">
        <v>31500</v>
      </c>
      <c r="T106" s="202">
        <f aca="true" t="shared" si="10" ref="T106:T169">+R106/O106</f>
        <v>0.43</v>
      </c>
      <c r="U106" s="202">
        <f aca="true" t="shared" si="11" ref="U106:U169">+S106/Q106</f>
        <v>0.63</v>
      </c>
    </row>
    <row r="107" spans="1:21" s="3" customFormat="1" ht="24.75" customHeight="1">
      <c r="A107" s="107"/>
      <c r="B107" s="5"/>
      <c r="C107" s="108" t="s">
        <v>90</v>
      </c>
      <c r="D107" s="36">
        <v>423400</v>
      </c>
      <c r="E107" s="151" t="s">
        <v>91</v>
      </c>
      <c r="F107" s="38">
        <f t="shared" si="8"/>
        <v>115000</v>
      </c>
      <c r="G107" s="146"/>
      <c r="H107" s="146"/>
      <c r="I107" s="146">
        <f>+I108</f>
        <v>110000</v>
      </c>
      <c r="J107" s="146">
        <f>+J108</f>
        <v>5000</v>
      </c>
      <c r="K107" s="146"/>
      <c r="L107" s="38">
        <f t="shared" si="9"/>
        <v>115000</v>
      </c>
      <c r="M107" s="146"/>
      <c r="N107" s="146"/>
      <c r="O107" s="146">
        <f>+O108</f>
        <v>110000</v>
      </c>
      <c r="P107" s="146">
        <f>+P108</f>
        <v>5000</v>
      </c>
      <c r="Q107" s="146"/>
      <c r="T107" s="202">
        <f t="shared" si="10"/>
        <v>0</v>
      </c>
      <c r="U107" s="202" t="e">
        <f t="shared" si="11"/>
        <v>#DIV/0!</v>
      </c>
    </row>
    <row r="108" spans="1:21" s="3" customFormat="1" ht="28.5" customHeight="1" hidden="1">
      <c r="A108" s="107"/>
      <c r="B108" s="154"/>
      <c r="C108" s="109" t="s">
        <v>243</v>
      </c>
      <c r="D108" s="11">
        <v>423432</v>
      </c>
      <c r="E108" s="32" t="s">
        <v>244</v>
      </c>
      <c r="F108" s="35">
        <f t="shared" si="8"/>
        <v>115000</v>
      </c>
      <c r="G108" s="75"/>
      <c r="H108" s="75"/>
      <c r="I108" s="75">
        <v>110000</v>
      </c>
      <c r="J108" s="75">
        <v>5000</v>
      </c>
      <c r="K108" s="75"/>
      <c r="L108" s="35">
        <f t="shared" si="9"/>
        <v>115000</v>
      </c>
      <c r="M108" s="75"/>
      <c r="N108" s="75"/>
      <c r="O108" s="75">
        <v>110000</v>
      </c>
      <c r="P108" s="75">
        <v>5000</v>
      </c>
      <c r="Q108" s="75"/>
      <c r="R108" s="3">
        <v>90411.1</v>
      </c>
      <c r="T108" s="202">
        <f t="shared" si="10"/>
        <v>0.821919090909091</v>
      </c>
      <c r="U108" s="202" t="e">
        <f t="shared" si="11"/>
        <v>#DIV/0!</v>
      </c>
    </row>
    <row r="109" spans="1:21" s="3" customFormat="1" ht="24.75" customHeight="1">
      <c r="A109" s="107"/>
      <c r="B109" s="159"/>
      <c r="C109" s="108" t="s">
        <v>92</v>
      </c>
      <c r="D109" s="36">
        <v>423500</v>
      </c>
      <c r="E109" s="151" t="s">
        <v>93</v>
      </c>
      <c r="F109" s="38">
        <f t="shared" si="8"/>
        <v>1450000</v>
      </c>
      <c r="G109" s="146"/>
      <c r="H109" s="146"/>
      <c r="I109" s="146">
        <f>+I110+I111+I112+I113</f>
        <v>0</v>
      </c>
      <c r="J109" s="146"/>
      <c r="K109" s="146">
        <f>+K110+K111+K112+K113</f>
        <v>1450000</v>
      </c>
      <c r="L109" s="38">
        <f t="shared" si="9"/>
        <v>1450000</v>
      </c>
      <c r="M109" s="146"/>
      <c r="N109" s="146"/>
      <c r="O109" s="146">
        <f>+O110+O111+O112+O113</f>
        <v>0</v>
      </c>
      <c r="P109" s="146"/>
      <c r="Q109" s="146">
        <f>+Q110+Q111+Q112+Q113</f>
        <v>1450000</v>
      </c>
      <c r="T109" s="202" t="e">
        <f t="shared" si="10"/>
        <v>#DIV/0!</v>
      </c>
      <c r="U109" s="202">
        <f t="shared" si="11"/>
        <v>0</v>
      </c>
    </row>
    <row r="110" spans="1:21" s="3" customFormat="1" ht="23.25" customHeight="1" hidden="1">
      <c r="A110" s="98"/>
      <c r="B110" s="155"/>
      <c r="C110" s="110" t="s">
        <v>245</v>
      </c>
      <c r="D110" s="11">
        <v>423591</v>
      </c>
      <c r="E110" s="32" t="s">
        <v>175</v>
      </c>
      <c r="F110" s="35">
        <f t="shared" si="8"/>
        <v>250000</v>
      </c>
      <c r="G110" s="75"/>
      <c r="H110" s="75"/>
      <c r="I110" s="75"/>
      <c r="J110" s="75"/>
      <c r="K110" s="75">
        <v>250000</v>
      </c>
      <c r="L110" s="35">
        <f t="shared" si="9"/>
        <v>250000</v>
      </c>
      <c r="M110" s="75"/>
      <c r="N110" s="75"/>
      <c r="O110" s="75"/>
      <c r="P110" s="75"/>
      <c r="Q110" s="75">
        <v>250000</v>
      </c>
      <c r="S110" s="3">
        <v>163537.97</v>
      </c>
      <c r="T110" s="202" t="e">
        <f t="shared" si="10"/>
        <v>#DIV/0!</v>
      </c>
      <c r="U110" s="202">
        <f t="shared" si="11"/>
        <v>0.65415188</v>
      </c>
    </row>
    <row r="111" spans="1:21" s="3" customFormat="1" ht="33.75" customHeight="1" hidden="1">
      <c r="A111" s="98"/>
      <c r="B111" s="105"/>
      <c r="C111" s="110" t="s">
        <v>246</v>
      </c>
      <c r="D111" s="11">
        <v>4235991</v>
      </c>
      <c r="E111" s="164" t="s">
        <v>247</v>
      </c>
      <c r="F111" s="35">
        <f t="shared" si="8"/>
        <v>200000</v>
      </c>
      <c r="G111" s="75"/>
      <c r="H111" s="75"/>
      <c r="I111" s="75"/>
      <c r="J111" s="75"/>
      <c r="K111" s="75">
        <v>200000</v>
      </c>
      <c r="L111" s="35">
        <f t="shared" si="9"/>
        <v>200000</v>
      </c>
      <c r="M111" s="75"/>
      <c r="N111" s="75"/>
      <c r="O111" s="75"/>
      <c r="P111" s="75"/>
      <c r="Q111" s="75">
        <v>200000</v>
      </c>
      <c r="R111" s="3">
        <v>159313.86</v>
      </c>
      <c r="T111" s="202" t="e">
        <f t="shared" si="10"/>
        <v>#DIV/0!</v>
      </c>
      <c r="U111" s="202">
        <f t="shared" si="11"/>
        <v>0</v>
      </c>
    </row>
    <row r="112" spans="1:21" s="3" customFormat="1" ht="19.5" customHeight="1" hidden="1">
      <c r="A112" s="98"/>
      <c r="B112" s="99"/>
      <c r="C112" s="110" t="s">
        <v>248</v>
      </c>
      <c r="D112" s="11">
        <v>4235992</v>
      </c>
      <c r="E112" s="151" t="s">
        <v>249</v>
      </c>
      <c r="F112" s="35">
        <f t="shared" si="8"/>
        <v>100000</v>
      </c>
      <c r="G112" s="75"/>
      <c r="H112" s="75"/>
      <c r="I112" s="75"/>
      <c r="J112" s="75"/>
      <c r="K112" s="75">
        <v>100000</v>
      </c>
      <c r="L112" s="35">
        <f t="shared" si="9"/>
        <v>100000</v>
      </c>
      <c r="M112" s="75"/>
      <c r="N112" s="75"/>
      <c r="O112" s="75"/>
      <c r="P112" s="75"/>
      <c r="Q112" s="75">
        <v>100000</v>
      </c>
      <c r="T112" s="202" t="e">
        <f t="shared" si="10"/>
        <v>#DIV/0!</v>
      </c>
      <c r="U112" s="202">
        <f t="shared" si="11"/>
        <v>0</v>
      </c>
    </row>
    <row r="113" spans="1:21" s="3" customFormat="1" ht="19.5" customHeight="1" hidden="1">
      <c r="A113" s="98"/>
      <c r="B113" s="99"/>
      <c r="C113" s="110" t="s">
        <v>250</v>
      </c>
      <c r="D113" s="11">
        <v>423599</v>
      </c>
      <c r="E113" s="151" t="s">
        <v>251</v>
      </c>
      <c r="F113" s="35">
        <f t="shared" si="8"/>
        <v>900000</v>
      </c>
      <c r="G113" s="75"/>
      <c r="H113" s="75"/>
      <c r="I113" s="75"/>
      <c r="J113" s="75"/>
      <c r="K113" s="75">
        <v>900000</v>
      </c>
      <c r="L113" s="35">
        <f t="shared" si="9"/>
        <v>900000</v>
      </c>
      <c r="M113" s="75"/>
      <c r="N113" s="75"/>
      <c r="O113" s="75"/>
      <c r="P113" s="75"/>
      <c r="Q113" s="75">
        <v>900000</v>
      </c>
      <c r="S113" s="3">
        <v>372746.68</v>
      </c>
      <c r="T113" s="202" t="e">
        <f t="shared" si="10"/>
        <v>#DIV/0!</v>
      </c>
      <c r="U113" s="202">
        <f t="shared" si="11"/>
        <v>0.4141629777777778</v>
      </c>
    </row>
    <row r="114" spans="1:21" s="1" customFormat="1" ht="24.75" customHeight="1">
      <c r="A114" s="98"/>
      <c r="B114" s="116"/>
      <c r="C114" s="108" t="s">
        <v>94</v>
      </c>
      <c r="D114" s="36">
        <v>423600</v>
      </c>
      <c r="E114" s="151" t="s">
        <v>95</v>
      </c>
      <c r="F114" s="38">
        <f t="shared" si="8"/>
        <v>1190000</v>
      </c>
      <c r="G114" s="146"/>
      <c r="H114" s="146"/>
      <c r="I114" s="146">
        <f>+I115</f>
        <v>1190000</v>
      </c>
      <c r="J114" s="146"/>
      <c r="K114" s="146"/>
      <c r="L114" s="38">
        <f t="shared" si="9"/>
        <v>1190000</v>
      </c>
      <c r="M114" s="146"/>
      <c r="N114" s="146"/>
      <c r="O114" s="146">
        <f>+O115</f>
        <v>1190000</v>
      </c>
      <c r="P114" s="146"/>
      <c r="Q114" s="146"/>
      <c r="R114" s="3"/>
      <c r="S114" s="3"/>
      <c r="T114" s="202">
        <f t="shared" si="10"/>
        <v>0</v>
      </c>
      <c r="U114" s="202" t="e">
        <f t="shared" si="11"/>
        <v>#DIV/0!</v>
      </c>
    </row>
    <row r="115" spans="1:21" s="1" customFormat="1" ht="19.5" customHeight="1" hidden="1">
      <c r="A115" s="107"/>
      <c r="B115" s="165"/>
      <c r="C115" s="109" t="s">
        <v>252</v>
      </c>
      <c r="D115" s="11">
        <v>423611</v>
      </c>
      <c r="E115" s="32" t="s">
        <v>253</v>
      </c>
      <c r="F115" s="35">
        <f t="shared" si="8"/>
        <v>1190000</v>
      </c>
      <c r="G115" s="75"/>
      <c r="H115" s="75"/>
      <c r="I115" s="75">
        <v>1190000</v>
      </c>
      <c r="J115" s="75"/>
      <c r="K115" s="146"/>
      <c r="L115" s="35">
        <f t="shared" si="9"/>
        <v>1190000</v>
      </c>
      <c r="M115" s="75"/>
      <c r="N115" s="75"/>
      <c r="O115" s="75">
        <v>1190000</v>
      </c>
      <c r="P115" s="75"/>
      <c r="Q115" s="146"/>
      <c r="R115" s="3">
        <v>592317.16</v>
      </c>
      <c r="S115" s="3"/>
      <c r="T115" s="202">
        <f t="shared" si="10"/>
        <v>0.497745512605042</v>
      </c>
      <c r="U115" s="202" t="e">
        <f t="shared" si="11"/>
        <v>#DIV/0!</v>
      </c>
    </row>
    <row r="116" spans="1:21" s="1" customFormat="1" ht="24.75" customHeight="1">
      <c r="A116" s="107"/>
      <c r="B116" s="166"/>
      <c r="C116" s="108" t="s">
        <v>96</v>
      </c>
      <c r="D116" s="36">
        <v>423700</v>
      </c>
      <c r="E116" s="151" t="s">
        <v>97</v>
      </c>
      <c r="F116" s="38">
        <f t="shared" si="8"/>
        <v>500000</v>
      </c>
      <c r="G116" s="146"/>
      <c r="H116" s="146"/>
      <c r="I116" s="146"/>
      <c r="J116" s="146"/>
      <c r="K116" s="146">
        <f>+K117+K118</f>
        <v>500000</v>
      </c>
      <c r="L116" s="38">
        <f t="shared" si="9"/>
        <v>500000</v>
      </c>
      <c r="M116" s="146"/>
      <c r="N116" s="146"/>
      <c r="O116" s="146"/>
      <c r="P116" s="146"/>
      <c r="Q116" s="146">
        <f>+Q117+Q118</f>
        <v>500000</v>
      </c>
      <c r="R116" s="3"/>
      <c r="S116" s="3"/>
      <c r="T116" s="202" t="e">
        <f t="shared" si="10"/>
        <v>#DIV/0!</v>
      </c>
      <c r="U116" s="202">
        <f t="shared" si="11"/>
        <v>0</v>
      </c>
    </row>
    <row r="117" spans="1:21" s="1" customFormat="1" ht="19.5" customHeight="1" hidden="1">
      <c r="A117" s="98"/>
      <c r="B117" s="73"/>
      <c r="C117" s="110" t="s">
        <v>254</v>
      </c>
      <c r="D117" s="11">
        <v>423711</v>
      </c>
      <c r="E117" s="32" t="s">
        <v>97</v>
      </c>
      <c r="F117" s="35">
        <f>+K117</f>
        <v>400000</v>
      </c>
      <c r="G117" s="75"/>
      <c r="H117" s="75"/>
      <c r="I117" s="75"/>
      <c r="J117" s="75"/>
      <c r="K117" s="75">
        <v>400000</v>
      </c>
      <c r="L117" s="35">
        <f>+Q117</f>
        <v>400000</v>
      </c>
      <c r="M117" s="75"/>
      <c r="N117" s="75"/>
      <c r="O117" s="75"/>
      <c r="P117" s="75"/>
      <c r="Q117" s="75">
        <v>400000</v>
      </c>
      <c r="R117" s="3"/>
      <c r="S117" s="3">
        <v>245106.15</v>
      </c>
      <c r="T117" s="202" t="e">
        <f t="shared" si="10"/>
        <v>#DIV/0!</v>
      </c>
      <c r="U117" s="202">
        <f t="shared" si="11"/>
        <v>0.612765375</v>
      </c>
    </row>
    <row r="118" spans="1:21" s="1" customFormat="1" ht="19.5" customHeight="1" hidden="1">
      <c r="A118" s="98"/>
      <c r="B118" s="99"/>
      <c r="C118" s="110" t="s">
        <v>255</v>
      </c>
      <c r="D118" s="11">
        <v>423712</v>
      </c>
      <c r="E118" s="32" t="s">
        <v>256</v>
      </c>
      <c r="F118" s="35">
        <f>+K118</f>
        <v>100000</v>
      </c>
      <c r="G118" s="75"/>
      <c r="H118" s="75"/>
      <c r="I118" s="75"/>
      <c r="J118" s="75"/>
      <c r="K118" s="75">
        <v>100000</v>
      </c>
      <c r="L118" s="35">
        <f>+Q118</f>
        <v>100000</v>
      </c>
      <c r="M118" s="75"/>
      <c r="N118" s="75"/>
      <c r="O118" s="75"/>
      <c r="P118" s="75"/>
      <c r="Q118" s="75">
        <v>100000</v>
      </c>
      <c r="R118" s="3"/>
      <c r="S118" s="3">
        <v>12500</v>
      </c>
      <c r="T118" s="202" t="e">
        <f t="shared" si="10"/>
        <v>#DIV/0!</v>
      </c>
      <c r="U118" s="202">
        <f t="shared" si="11"/>
        <v>0.125</v>
      </c>
    </row>
    <row r="119" spans="1:21" s="1" customFormat="1" ht="24.75" customHeight="1">
      <c r="A119" s="107"/>
      <c r="B119" s="165"/>
      <c r="C119" s="108" t="s">
        <v>98</v>
      </c>
      <c r="D119" s="36">
        <v>423900</v>
      </c>
      <c r="E119" s="151" t="s">
        <v>99</v>
      </c>
      <c r="F119" s="38">
        <f>SUM(G119:K119)</f>
        <v>375000</v>
      </c>
      <c r="G119" s="146"/>
      <c r="H119" s="146"/>
      <c r="I119" s="146">
        <f>+I120</f>
        <v>275000</v>
      </c>
      <c r="J119" s="146"/>
      <c r="K119" s="146">
        <f>+K120</f>
        <v>100000</v>
      </c>
      <c r="L119" s="38">
        <f>SUM(M119:Q119)</f>
        <v>375000</v>
      </c>
      <c r="M119" s="146"/>
      <c r="N119" s="146"/>
      <c r="O119" s="146">
        <f>+O120</f>
        <v>275000</v>
      </c>
      <c r="P119" s="146"/>
      <c r="Q119" s="146">
        <f>+Q120</f>
        <v>100000</v>
      </c>
      <c r="R119" s="3"/>
      <c r="S119" s="3"/>
      <c r="T119" s="202">
        <f t="shared" si="10"/>
        <v>0</v>
      </c>
      <c r="U119" s="202">
        <f t="shared" si="11"/>
        <v>0</v>
      </c>
    </row>
    <row r="120" spans="1:21" s="1" customFormat="1" ht="19.5" customHeight="1" hidden="1">
      <c r="A120" s="161"/>
      <c r="B120" s="163"/>
      <c r="C120" s="109" t="s">
        <v>257</v>
      </c>
      <c r="D120" s="11">
        <v>423911</v>
      </c>
      <c r="E120" s="151" t="s">
        <v>99</v>
      </c>
      <c r="F120" s="35">
        <f>SUM(G120:K120)</f>
        <v>375000</v>
      </c>
      <c r="G120" s="75"/>
      <c r="H120" s="75"/>
      <c r="I120" s="75">
        <f>200000+75000</f>
        <v>275000</v>
      </c>
      <c r="J120" s="75"/>
      <c r="K120" s="75">
        <v>100000</v>
      </c>
      <c r="L120" s="35">
        <f>SUM(M120:Q120)</f>
        <v>375000</v>
      </c>
      <c r="M120" s="75"/>
      <c r="N120" s="75"/>
      <c r="O120" s="75">
        <f>200000+75000</f>
        <v>275000</v>
      </c>
      <c r="P120" s="75"/>
      <c r="Q120" s="75">
        <v>100000</v>
      </c>
      <c r="R120" s="3">
        <v>84095.06</v>
      </c>
      <c r="S120" s="3">
        <v>47514.76</v>
      </c>
      <c r="T120" s="202">
        <f t="shared" si="10"/>
        <v>0.3058002181818182</v>
      </c>
      <c r="U120" s="202">
        <f t="shared" si="11"/>
        <v>0.4751476</v>
      </c>
    </row>
    <row r="121" spans="1:21" s="1" customFormat="1" ht="25.5" customHeight="1">
      <c r="A121" s="85">
        <v>4</v>
      </c>
      <c r="B121" s="36">
        <v>424000</v>
      </c>
      <c r="C121" s="11"/>
      <c r="D121" s="309" t="s">
        <v>100</v>
      </c>
      <c r="E121" s="309"/>
      <c r="F121" s="38">
        <f>SUM(G121:K121)</f>
        <v>2118720</v>
      </c>
      <c r="G121" s="78"/>
      <c r="H121" s="78"/>
      <c r="I121" s="38">
        <f>+I122+I127+I125</f>
        <v>230000</v>
      </c>
      <c r="J121" s="38"/>
      <c r="K121" s="38">
        <f>+K122+K128+K125</f>
        <v>1888720</v>
      </c>
      <c r="L121" s="38">
        <f>SUM(M121:Q121)</f>
        <v>2118720</v>
      </c>
      <c r="M121" s="78"/>
      <c r="N121" s="78"/>
      <c r="O121" s="38">
        <f>+O122+O127+O125</f>
        <v>230000</v>
      </c>
      <c r="P121" s="38"/>
      <c r="Q121" s="38">
        <f>+Q122+Q128+Q125</f>
        <v>1888720</v>
      </c>
      <c r="R121" s="3"/>
      <c r="S121" s="3"/>
      <c r="T121" s="202">
        <f t="shared" si="10"/>
        <v>0</v>
      </c>
      <c r="U121" s="202">
        <f t="shared" si="11"/>
        <v>0</v>
      </c>
    </row>
    <row r="122" spans="1:21" s="1" customFormat="1" ht="24.75" customHeight="1">
      <c r="A122" s="112"/>
      <c r="B122" s="73"/>
      <c r="C122" s="153" t="s">
        <v>101</v>
      </c>
      <c r="D122" s="36">
        <v>424300</v>
      </c>
      <c r="E122" s="151" t="s">
        <v>102</v>
      </c>
      <c r="F122" s="38">
        <f>SUM(G122:K122)</f>
        <v>280000</v>
      </c>
      <c r="G122" s="146"/>
      <c r="H122" s="146"/>
      <c r="I122" s="146">
        <f>+I123</f>
        <v>180000</v>
      </c>
      <c r="J122" s="146"/>
      <c r="K122" s="146">
        <f>+K123+K124</f>
        <v>100000</v>
      </c>
      <c r="L122" s="38">
        <f>SUM(M122:Q122)</f>
        <v>280000</v>
      </c>
      <c r="M122" s="146"/>
      <c r="N122" s="146"/>
      <c r="O122" s="146">
        <f>+O123</f>
        <v>180000</v>
      </c>
      <c r="P122" s="146"/>
      <c r="Q122" s="146">
        <f>+Q123+Q124</f>
        <v>100000</v>
      </c>
      <c r="R122" s="3"/>
      <c r="S122" s="3"/>
      <c r="T122" s="202">
        <f t="shared" si="10"/>
        <v>0</v>
      </c>
      <c r="U122" s="202">
        <f t="shared" si="11"/>
        <v>0</v>
      </c>
    </row>
    <row r="123" spans="1:21" s="1" customFormat="1" ht="26.25" customHeight="1" hidden="1">
      <c r="A123" s="98"/>
      <c r="B123" s="111"/>
      <c r="C123" s="113" t="s">
        <v>258</v>
      </c>
      <c r="D123" s="13">
        <v>424331</v>
      </c>
      <c r="E123" s="150" t="s">
        <v>259</v>
      </c>
      <c r="F123" s="35">
        <f>SUM(G123:K123)</f>
        <v>180000</v>
      </c>
      <c r="G123" s="75"/>
      <c r="H123" s="75"/>
      <c r="I123" s="75">
        <v>180000</v>
      </c>
      <c r="J123" s="75"/>
      <c r="K123" s="75"/>
      <c r="L123" s="35">
        <f>SUM(M123:Q123)</f>
        <v>180000</v>
      </c>
      <c r="M123" s="75"/>
      <c r="N123" s="75"/>
      <c r="O123" s="75">
        <v>180000</v>
      </c>
      <c r="P123" s="75"/>
      <c r="Q123" s="75"/>
      <c r="R123" s="3">
        <v>159998.4</v>
      </c>
      <c r="S123" s="3"/>
      <c r="T123" s="203">
        <f t="shared" si="10"/>
        <v>0.88888</v>
      </c>
      <c r="U123" s="202" t="e">
        <f t="shared" si="11"/>
        <v>#DIV/0!</v>
      </c>
    </row>
    <row r="124" spans="1:21" s="1" customFormat="1" ht="19.5" customHeight="1" hidden="1">
      <c r="A124" s="98"/>
      <c r="B124" s="111"/>
      <c r="C124" s="113" t="s">
        <v>260</v>
      </c>
      <c r="D124" s="13">
        <v>424351</v>
      </c>
      <c r="E124" s="90" t="s">
        <v>261</v>
      </c>
      <c r="F124" s="35">
        <f>+K124</f>
        <v>100000</v>
      </c>
      <c r="G124" s="75"/>
      <c r="H124" s="75"/>
      <c r="I124" s="75"/>
      <c r="J124" s="75"/>
      <c r="K124" s="75">
        <v>100000</v>
      </c>
      <c r="L124" s="35">
        <f>+Q124</f>
        <v>100000</v>
      </c>
      <c r="M124" s="75"/>
      <c r="N124" s="75"/>
      <c r="O124" s="75"/>
      <c r="P124" s="75"/>
      <c r="Q124" s="75">
        <v>100000</v>
      </c>
      <c r="R124" s="3"/>
      <c r="S124" s="3">
        <v>720</v>
      </c>
      <c r="T124" s="202" t="e">
        <f t="shared" si="10"/>
        <v>#DIV/0!</v>
      </c>
      <c r="U124" s="202">
        <f t="shared" si="11"/>
        <v>0.0072</v>
      </c>
    </row>
    <row r="125" spans="1:21" s="1" customFormat="1" ht="22.5" customHeight="1">
      <c r="A125" s="98"/>
      <c r="B125" s="111"/>
      <c r="C125" s="154" t="s">
        <v>103</v>
      </c>
      <c r="D125" s="40">
        <v>424600</v>
      </c>
      <c r="E125" s="167" t="s">
        <v>104</v>
      </c>
      <c r="F125" s="38">
        <f>+I125+K125</f>
        <v>50000</v>
      </c>
      <c r="G125" s="146"/>
      <c r="H125" s="146"/>
      <c r="I125" s="146">
        <f>+I126</f>
        <v>50000</v>
      </c>
      <c r="J125" s="146"/>
      <c r="K125" s="146">
        <f>+K126</f>
        <v>0</v>
      </c>
      <c r="L125" s="38">
        <f>+O125+Q125</f>
        <v>50000</v>
      </c>
      <c r="M125" s="146"/>
      <c r="N125" s="146"/>
      <c r="O125" s="146">
        <f>+O126</f>
        <v>50000</v>
      </c>
      <c r="P125" s="146"/>
      <c r="Q125" s="146">
        <f>+Q126</f>
        <v>0</v>
      </c>
      <c r="R125" s="3"/>
      <c r="S125" s="3"/>
      <c r="T125" s="202">
        <f t="shared" si="10"/>
        <v>0</v>
      </c>
      <c r="U125" s="202" t="e">
        <f t="shared" si="11"/>
        <v>#DIV/0!</v>
      </c>
    </row>
    <row r="126" spans="1:21" s="1" customFormat="1" ht="19.5" customHeight="1" hidden="1">
      <c r="A126" s="98"/>
      <c r="B126" s="111"/>
      <c r="C126" s="113" t="s">
        <v>262</v>
      </c>
      <c r="D126" s="13">
        <v>424611</v>
      </c>
      <c r="E126" s="168" t="s">
        <v>263</v>
      </c>
      <c r="F126" s="35">
        <f>+I126+K126</f>
        <v>50000</v>
      </c>
      <c r="G126" s="75"/>
      <c r="H126" s="75"/>
      <c r="I126" s="75">
        <v>50000</v>
      </c>
      <c r="J126" s="75"/>
      <c r="K126" s="75"/>
      <c r="L126" s="35">
        <f>+O126+Q126</f>
        <v>50000</v>
      </c>
      <c r="M126" s="75"/>
      <c r="N126" s="75"/>
      <c r="O126" s="75">
        <v>50000</v>
      </c>
      <c r="P126" s="75"/>
      <c r="Q126" s="75"/>
      <c r="R126" s="3">
        <v>24000</v>
      </c>
      <c r="S126" s="3"/>
      <c r="T126" s="202">
        <f t="shared" si="10"/>
        <v>0.48</v>
      </c>
      <c r="U126" s="202" t="e">
        <f t="shared" si="11"/>
        <v>#DIV/0!</v>
      </c>
    </row>
    <row r="127" spans="1:21" s="115" customFormat="1" ht="24.75" customHeight="1">
      <c r="A127" s="98"/>
      <c r="B127" s="281"/>
      <c r="C127" s="285" t="s">
        <v>105</v>
      </c>
      <c r="D127" s="162">
        <v>424900</v>
      </c>
      <c r="E127" s="169" t="s">
        <v>106</v>
      </c>
      <c r="F127" s="38">
        <f aca="true" t="shared" si="12" ref="F127:F133">SUM(G127:K127)</f>
        <v>1788720</v>
      </c>
      <c r="G127" s="146"/>
      <c r="H127" s="146"/>
      <c r="I127" s="146"/>
      <c r="J127" s="146"/>
      <c r="K127" s="146">
        <f>+K128</f>
        <v>1788720</v>
      </c>
      <c r="L127" s="38">
        <f aca="true" t="shared" si="13" ref="L127:L133">SUM(M127:Q127)</f>
        <v>1788720</v>
      </c>
      <c r="M127" s="146"/>
      <c r="N127" s="146"/>
      <c r="O127" s="146"/>
      <c r="P127" s="146"/>
      <c r="Q127" s="146">
        <f>+Q128</f>
        <v>1788720</v>
      </c>
      <c r="R127" s="189"/>
      <c r="S127" s="189"/>
      <c r="T127" s="202" t="e">
        <f t="shared" si="10"/>
        <v>#DIV/0!</v>
      </c>
      <c r="U127" s="202">
        <f t="shared" si="11"/>
        <v>0</v>
      </c>
    </row>
    <row r="128" spans="1:21" s="137" customFormat="1" ht="28.5" customHeight="1" hidden="1">
      <c r="A128" s="170"/>
      <c r="B128" s="282"/>
      <c r="C128" s="286" t="s">
        <v>264</v>
      </c>
      <c r="D128" s="283">
        <v>424911</v>
      </c>
      <c r="E128" s="171" t="s">
        <v>265</v>
      </c>
      <c r="F128" s="35">
        <f t="shared" si="12"/>
        <v>1788720</v>
      </c>
      <c r="G128" s="75"/>
      <c r="H128" s="75"/>
      <c r="I128" s="75"/>
      <c r="J128" s="75"/>
      <c r="K128" s="75">
        <f>1945000-41280-115000</f>
        <v>1788720</v>
      </c>
      <c r="L128" s="35">
        <f t="shared" si="13"/>
        <v>1788720</v>
      </c>
      <c r="M128" s="75"/>
      <c r="N128" s="75"/>
      <c r="O128" s="75"/>
      <c r="P128" s="75"/>
      <c r="Q128" s="75">
        <f>1945000-41280-115000</f>
        <v>1788720</v>
      </c>
      <c r="R128" s="191"/>
      <c r="S128" s="191">
        <v>1115870</v>
      </c>
      <c r="T128" s="202" t="e">
        <f t="shared" si="10"/>
        <v>#DIV/0!</v>
      </c>
      <c r="U128" s="202">
        <f t="shared" si="11"/>
        <v>0.623837157296838</v>
      </c>
    </row>
    <row r="129" spans="1:21" s="1" customFormat="1" ht="23.25" customHeight="1">
      <c r="A129" s="68">
        <v>5</v>
      </c>
      <c r="B129" s="101">
        <v>425000</v>
      </c>
      <c r="C129" s="287"/>
      <c r="D129" s="321" t="s">
        <v>107</v>
      </c>
      <c r="E129" s="309"/>
      <c r="F129" s="38">
        <f t="shared" si="12"/>
        <v>18513970</v>
      </c>
      <c r="G129" s="78"/>
      <c r="H129" s="38">
        <f>H130+H140</f>
        <v>500000</v>
      </c>
      <c r="I129" s="38">
        <f>I130+I140</f>
        <v>17738970</v>
      </c>
      <c r="J129" s="38"/>
      <c r="K129" s="38">
        <f>K130+K140</f>
        <v>275000</v>
      </c>
      <c r="L129" s="38">
        <f t="shared" si="13"/>
        <v>18638502</v>
      </c>
      <c r="M129" s="78"/>
      <c r="N129" s="38">
        <f>N130+N140</f>
        <v>500000</v>
      </c>
      <c r="O129" s="38">
        <f>O130+O140</f>
        <v>17947502</v>
      </c>
      <c r="P129" s="38"/>
      <c r="Q129" s="38">
        <f>Q130+Q140</f>
        <v>191000</v>
      </c>
      <c r="R129" s="3"/>
      <c r="S129" s="3"/>
      <c r="T129" s="202">
        <f t="shared" si="10"/>
        <v>0</v>
      </c>
      <c r="U129" s="202">
        <f t="shared" si="11"/>
        <v>0</v>
      </c>
    </row>
    <row r="130" spans="1:21" s="3" customFormat="1" ht="24.75" customHeight="1">
      <c r="A130" s="72"/>
      <c r="B130" s="163"/>
      <c r="C130" s="284" t="s">
        <v>108</v>
      </c>
      <c r="D130" s="247">
        <v>425100</v>
      </c>
      <c r="E130" s="251" t="s">
        <v>109</v>
      </c>
      <c r="F130" s="249">
        <f t="shared" si="12"/>
        <v>1100000</v>
      </c>
      <c r="G130" s="252"/>
      <c r="H130" s="252">
        <f>+H131+H132+H133+H134+H135+H136+H137+H139+H138</f>
        <v>500000</v>
      </c>
      <c r="I130" s="252">
        <f>+I131+I132+I133+I134+I135+I136+I137+I139+I138</f>
        <v>600000</v>
      </c>
      <c r="J130" s="252"/>
      <c r="K130" s="252">
        <f>+K131+K132+K133+K134+K135+K136+K137+K139</f>
        <v>0</v>
      </c>
      <c r="L130" s="249">
        <f t="shared" si="13"/>
        <v>1110000</v>
      </c>
      <c r="M130" s="252"/>
      <c r="N130" s="252">
        <f>+N131+N132+N133+N134+N135+N136+N137+N139+N138</f>
        <v>500000</v>
      </c>
      <c r="O130" s="252">
        <f>+O131+O132+O133+O134+O135+O136+O137+O139+O138</f>
        <v>610000</v>
      </c>
      <c r="P130" s="252"/>
      <c r="Q130" s="252">
        <f>+Q131+Q132+Q133+Q134+Q135+Q136+Q137+Q139</f>
        <v>0</v>
      </c>
      <c r="T130" s="202">
        <f t="shared" si="10"/>
        <v>0</v>
      </c>
      <c r="U130" s="202" t="e">
        <f t="shared" si="11"/>
        <v>#DIV/0!</v>
      </c>
    </row>
    <row r="131" spans="1:21" s="3" customFormat="1" ht="19.5" customHeight="1" hidden="1">
      <c r="A131" s="107"/>
      <c r="B131" s="322"/>
      <c r="C131" s="109" t="s">
        <v>266</v>
      </c>
      <c r="D131" s="11">
        <v>425111</v>
      </c>
      <c r="E131" s="32" t="s">
        <v>267</v>
      </c>
      <c r="F131" s="35">
        <f t="shared" si="12"/>
        <v>30000</v>
      </c>
      <c r="G131" s="146"/>
      <c r="H131" s="75"/>
      <c r="I131" s="75">
        <v>30000</v>
      </c>
      <c r="J131" s="75"/>
      <c r="K131" s="103"/>
      <c r="L131" s="35">
        <f t="shared" si="13"/>
        <v>30000</v>
      </c>
      <c r="M131" s="146"/>
      <c r="N131" s="75"/>
      <c r="O131" s="75">
        <v>30000</v>
      </c>
      <c r="P131" s="75"/>
      <c r="Q131" s="103"/>
      <c r="T131" s="202">
        <f t="shared" si="10"/>
        <v>0</v>
      </c>
      <c r="U131" s="202" t="e">
        <f t="shared" si="11"/>
        <v>#DIV/0!</v>
      </c>
    </row>
    <row r="132" spans="1:21" s="3" customFormat="1" ht="19.5" customHeight="1" hidden="1">
      <c r="A132" s="107"/>
      <c r="B132" s="322"/>
      <c r="C132" s="109" t="s">
        <v>268</v>
      </c>
      <c r="D132" s="11">
        <v>425112</v>
      </c>
      <c r="E132" s="32" t="s">
        <v>269</v>
      </c>
      <c r="F132" s="35">
        <f t="shared" si="12"/>
        <v>30000</v>
      </c>
      <c r="G132" s="75"/>
      <c r="H132" s="75"/>
      <c r="I132" s="75">
        <v>30000</v>
      </c>
      <c r="J132" s="75"/>
      <c r="K132" s="103"/>
      <c r="L132" s="35">
        <f t="shared" si="13"/>
        <v>30000</v>
      </c>
      <c r="M132" s="75"/>
      <c r="N132" s="75"/>
      <c r="O132" s="75">
        <v>30000</v>
      </c>
      <c r="P132" s="75"/>
      <c r="Q132" s="103"/>
      <c r="R132" s="3">
        <v>23628</v>
      </c>
      <c r="T132" s="202">
        <f t="shared" si="10"/>
        <v>0.7876</v>
      </c>
      <c r="U132" s="202" t="e">
        <f t="shared" si="11"/>
        <v>#DIV/0!</v>
      </c>
    </row>
    <row r="133" spans="1:21" s="3" customFormat="1" ht="19.5" customHeight="1" hidden="1">
      <c r="A133" s="107"/>
      <c r="B133" s="322"/>
      <c r="C133" s="109" t="s">
        <v>270</v>
      </c>
      <c r="D133" s="11">
        <v>425113</v>
      </c>
      <c r="E133" s="32" t="s">
        <v>271</v>
      </c>
      <c r="F133" s="35">
        <f t="shared" si="12"/>
        <v>30000</v>
      </c>
      <c r="G133" s="75"/>
      <c r="H133" s="75"/>
      <c r="I133" s="75">
        <v>30000</v>
      </c>
      <c r="J133" s="75"/>
      <c r="K133" s="103"/>
      <c r="L133" s="35">
        <f t="shared" si="13"/>
        <v>30000</v>
      </c>
      <c r="M133" s="75"/>
      <c r="N133" s="75"/>
      <c r="O133" s="75">
        <v>30000</v>
      </c>
      <c r="P133" s="75"/>
      <c r="Q133" s="103"/>
      <c r="T133" s="202">
        <f t="shared" si="10"/>
        <v>0</v>
      </c>
      <c r="U133" s="202" t="e">
        <f t="shared" si="11"/>
        <v>#DIV/0!</v>
      </c>
    </row>
    <row r="134" spans="1:21" s="3" customFormat="1" ht="19.5" customHeight="1" hidden="1">
      <c r="A134" s="107"/>
      <c r="B134" s="322"/>
      <c r="C134" s="109" t="s">
        <v>272</v>
      </c>
      <c r="D134" s="11">
        <v>425114</v>
      </c>
      <c r="E134" s="32" t="s">
        <v>273</v>
      </c>
      <c r="F134" s="35">
        <f>+I134</f>
        <v>30000</v>
      </c>
      <c r="G134" s="75"/>
      <c r="H134" s="75"/>
      <c r="I134" s="75">
        <v>30000</v>
      </c>
      <c r="J134" s="75"/>
      <c r="K134" s="103"/>
      <c r="L134" s="35">
        <f>+O134</f>
        <v>30000</v>
      </c>
      <c r="M134" s="75"/>
      <c r="N134" s="75"/>
      <c r="O134" s="75">
        <v>30000</v>
      </c>
      <c r="P134" s="75"/>
      <c r="Q134" s="103"/>
      <c r="T134" s="202">
        <f t="shared" si="10"/>
        <v>0</v>
      </c>
      <c r="U134" s="202" t="e">
        <f t="shared" si="11"/>
        <v>#DIV/0!</v>
      </c>
    </row>
    <row r="135" spans="1:21" s="3" customFormat="1" ht="19.5" customHeight="1" hidden="1">
      <c r="A135" s="107"/>
      <c r="B135" s="322"/>
      <c r="C135" s="109" t="s">
        <v>274</v>
      </c>
      <c r="D135" s="11">
        <v>425115</v>
      </c>
      <c r="E135" s="32" t="s">
        <v>275</v>
      </c>
      <c r="F135" s="35">
        <f aca="true" t="shared" si="14" ref="F135:F171">SUM(G135:K135)</f>
        <v>50000</v>
      </c>
      <c r="G135" s="75"/>
      <c r="H135" s="75"/>
      <c r="I135" s="75">
        <v>50000</v>
      </c>
      <c r="J135" s="75"/>
      <c r="K135" s="103"/>
      <c r="L135" s="35">
        <f aca="true" t="shared" si="15" ref="L135:L171">SUM(M135:Q135)</f>
        <v>50000</v>
      </c>
      <c r="M135" s="75"/>
      <c r="N135" s="75"/>
      <c r="O135" s="75">
        <v>50000</v>
      </c>
      <c r="P135" s="75"/>
      <c r="Q135" s="103"/>
      <c r="R135" s="3">
        <v>24299.02</v>
      </c>
      <c r="T135" s="202">
        <f t="shared" si="10"/>
        <v>0.48598040000000003</v>
      </c>
      <c r="U135" s="202" t="e">
        <f t="shared" si="11"/>
        <v>#DIV/0!</v>
      </c>
    </row>
    <row r="136" spans="1:21" s="3" customFormat="1" ht="19.5" customHeight="1" hidden="1">
      <c r="A136" s="107"/>
      <c r="B136" s="322"/>
      <c r="C136" s="109" t="s">
        <v>276</v>
      </c>
      <c r="D136" s="11">
        <v>425116</v>
      </c>
      <c r="E136" s="32" t="s">
        <v>189</v>
      </c>
      <c r="F136" s="35">
        <f t="shared" si="14"/>
        <v>50000</v>
      </c>
      <c r="G136" s="75"/>
      <c r="H136" s="75"/>
      <c r="I136" s="75">
        <v>50000</v>
      </c>
      <c r="J136" s="75"/>
      <c r="K136" s="103"/>
      <c r="L136" s="35">
        <f t="shared" si="15"/>
        <v>50000</v>
      </c>
      <c r="M136" s="75"/>
      <c r="N136" s="75"/>
      <c r="O136" s="75">
        <v>50000</v>
      </c>
      <c r="P136" s="75"/>
      <c r="Q136" s="103"/>
      <c r="T136" s="202">
        <f t="shared" si="10"/>
        <v>0</v>
      </c>
      <c r="U136" s="202" t="e">
        <f t="shared" si="11"/>
        <v>#DIV/0!</v>
      </c>
    </row>
    <row r="137" spans="1:21" s="3" customFormat="1" ht="19.5" customHeight="1" hidden="1">
      <c r="A137" s="107"/>
      <c r="B137" s="322"/>
      <c r="C137" s="109" t="s">
        <v>277</v>
      </c>
      <c r="D137" s="11">
        <v>425117</v>
      </c>
      <c r="E137" s="32" t="s">
        <v>278</v>
      </c>
      <c r="F137" s="35">
        <f t="shared" si="14"/>
        <v>250000</v>
      </c>
      <c r="G137" s="75"/>
      <c r="H137" s="75"/>
      <c r="I137" s="75">
        <v>250000</v>
      </c>
      <c r="J137" s="75"/>
      <c r="K137" s="103"/>
      <c r="L137" s="35">
        <f t="shared" si="15"/>
        <v>250000</v>
      </c>
      <c r="M137" s="75"/>
      <c r="N137" s="75"/>
      <c r="O137" s="75">
        <v>250000</v>
      </c>
      <c r="P137" s="75"/>
      <c r="Q137" s="103"/>
      <c r="R137" s="3">
        <v>153962</v>
      </c>
      <c r="T137" s="202">
        <f t="shared" si="10"/>
        <v>0.615848</v>
      </c>
      <c r="U137" s="202" t="e">
        <f t="shared" si="11"/>
        <v>#DIV/0!</v>
      </c>
    </row>
    <row r="138" spans="1:21" s="3" customFormat="1" ht="24" customHeight="1" hidden="1">
      <c r="A138" s="107"/>
      <c r="B138" s="322"/>
      <c r="C138" s="212" t="s">
        <v>279</v>
      </c>
      <c r="D138" s="205">
        <v>425118</v>
      </c>
      <c r="E138" s="206" t="s">
        <v>280</v>
      </c>
      <c r="F138" s="207">
        <f t="shared" si="14"/>
        <v>30000</v>
      </c>
      <c r="G138" s="208"/>
      <c r="H138" s="208"/>
      <c r="I138" s="208">
        <v>30000</v>
      </c>
      <c r="J138" s="208"/>
      <c r="K138" s="211"/>
      <c r="L138" s="207">
        <f t="shared" si="15"/>
        <v>40000</v>
      </c>
      <c r="M138" s="208"/>
      <c r="N138" s="208"/>
      <c r="O138" s="208">
        <v>40000</v>
      </c>
      <c r="P138" s="208"/>
      <c r="Q138" s="211"/>
      <c r="R138" s="3">
        <v>32000</v>
      </c>
      <c r="T138" s="203">
        <f t="shared" si="10"/>
        <v>0.8</v>
      </c>
      <c r="U138" s="202" t="e">
        <f t="shared" si="11"/>
        <v>#DIV/0!</v>
      </c>
    </row>
    <row r="139" spans="1:21" s="3" customFormat="1" ht="26.25" customHeight="1" hidden="1">
      <c r="A139" s="107"/>
      <c r="B139" s="322"/>
      <c r="C139" s="109" t="s">
        <v>281</v>
      </c>
      <c r="D139" s="11">
        <v>425119</v>
      </c>
      <c r="E139" s="32" t="s">
        <v>282</v>
      </c>
      <c r="F139" s="35">
        <f t="shared" si="14"/>
        <v>600000</v>
      </c>
      <c r="G139" s="75"/>
      <c r="H139" s="75">
        <v>500000</v>
      </c>
      <c r="I139" s="75">
        <v>100000</v>
      </c>
      <c r="J139" s="75"/>
      <c r="K139" s="103"/>
      <c r="L139" s="35">
        <f t="shared" si="15"/>
        <v>600000</v>
      </c>
      <c r="M139" s="75"/>
      <c r="N139" s="75">
        <v>500000</v>
      </c>
      <c r="O139" s="75">
        <v>100000</v>
      </c>
      <c r="P139" s="75"/>
      <c r="Q139" s="103"/>
      <c r="R139" s="3">
        <v>36694</v>
      </c>
      <c r="T139" s="203">
        <f t="shared" si="10"/>
        <v>0.36694</v>
      </c>
      <c r="U139" s="202" t="e">
        <f t="shared" si="11"/>
        <v>#DIV/0!</v>
      </c>
    </row>
    <row r="140" spans="1:21" s="3" customFormat="1" ht="24.75" customHeight="1">
      <c r="A140" s="107"/>
      <c r="B140" s="163"/>
      <c r="C140" s="261" t="s">
        <v>110</v>
      </c>
      <c r="D140" s="247">
        <v>425200</v>
      </c>
      <c r="E140" s="251" t="s">
        <v>283</v>
      </c>
      <c r="F140" s="249">
        <f t="shared" si="14"/>
        <v>17413970</v>
      </c>
      <c r="G140" s="252"/>
      <c r="H140" s="252"/>
      <c r="I140" s="252">
        <f>+I141+I144+I151</f>
        <v>17138970</v>
      </c>
      <c r="J140" s="252"/>
      <c r="K140" s="252">
        <f>+K141+K144+K151</f>
        <v>275000</v>
      </c>
      <c r="L140" s="249">
        <f t="shared" si="15"/>
        <v>17528502</v>
      </c>
      <c r="M140" s="252"/>
      <c r="N140" s="252"/>
      <c r="O140" s="252">
        <f>+O141+O144+O151</f>
        <v>17337502</v>
      </c>
      <c r="P140" s="252"/>
      <c r="Q140" s="252">
        <f>+Q141+Q144+Q151</f>
        <v>191000</v>
      </c>
      <c r="T140" s="202">
        <f t="shared" si="10"/>
        <v>0</v>
      </c>
      <c r="U140" s="202">
        <f t="shared" si="11"/>
        <v>0</v>
      </c>
    </row>
    <row r="141" spans="1:21" s="3" customFormat="1" ht="24.75" customHeight="1">
      <c r="A141" s="107"/>
      <c r="B141" s="172"/>
      <c r="C141" s="261" t="s">
        <v>284</v>
      </c>
      <c r="D141" s="247">
        <v>425210</v>
      </c>
      <c r="E141" s="251" t="s">
        <v>285</v>
      </c>
      <c r="F141" s="249">
        <f t="shared" si="14"/>
        <v>14896970</v>
      </c>
      <c r="G141" s="252"/>
      <c r="H141" s="252"/>
      <c r="I141" s="252">
        <f>+I142+I143</f>
        <v>14696970</v>
      </c>
      <c r="J141" s="252"/>
      <c r="K141" s="252">
        <f>+K142+K143</f>
        <v>200000</v>
      </c>
      <c r="L141" s="249">
        <f t="shared" si="15"/>
        <v>14296970</v>
      </c>
      <c r="M141" s="252"/>
      <c r="N141" s="252"/>
      <c r="O141" s="252">
        <f>+O142+O143</f>
        <v>14196970</v>
      </c>
      <c r="P141" s="252"/>
      <c r="Q141" s="252">
        <f>+Q142+Q143</f>
        <v>100000</v>
      </c>
      <c r="T141" s="202">
        <f t="shared" si="10"/>
        <v>0</v>
      </c>
      <c r="U141" s="202">
        <f t="shared" si="11"/>
        <v>0</v>
      </c>
    </row>
    <row r="142" spans="1:21" s="3" customFormat="1" ht="19.5" customHeight="1" hidden="1">
      <c r="A142" s="98"/>
      <c r="B142" s="117"/>
      <c r="C142" s="263" t="s">
        <v>286</v>
      </c>
      <c r="D142" s="241">
        <v>42521101</v>
      </c>
      <c r="E142" s="242" t="s">
        <v>287</v>
      </c>
      <c r="F142" s="243">
        <f t="shared" si="14"/>
        <v>14646970</v>
      </c>
      <c r="G142" s="244"/>
      <c r="H142" s="244"/>
      <c r="I142" s="244">
        <f>17896065-184848-500-2978747-295000+10000</f>
        <v>14446970</v>
      </c>
      <c r="J142" s="244"/>
      <c r="K142" s="244">
        <v>200000</v>
      </c>
      <c r="L142" s="243">
        <f t="shared" si="15"/>
        <v>14046970</v>
      </c>
      <c r="M142" s="244"/>
      <c r="N142" s="244"/>
      <c r="O142" s="244">
        <f>17896065-184848-500-2978747-295000+10000-500000</f>
        <v>13946970</v>
      </c>
      <c r="P142" s="244"/>
      <c r="Q142" s="244">
        <f>200000-40000-60000</f>
        <v>100000</v>
      </c>
      <c r="R142" s="3">
        <v>10312035.52</v>
      </c>
      <c r="T142" s="202">
        <f t="shared" si="10"/>
        <v>0.7393746111162496</v>
      </c>
      <c r="U142" s="202">
        <f t="shared" si="11"/>
        <v>0</v>
      </c>
    </row>
    <row r="143" spans="1:21" s="3" customFormat="1" ht="19.5" customHeight="1" hidden="1">
      <c r="A143" s="98"/>
      <c r="B143" s="117"/>
      <c r="C143" s="110" t="s">
        <v>288</v>
      </c>
      <c r="D143" s="11">
        <v>42521102</v>
      </c>
      <c r="E143" s="95" t="s">
        <v>289</v>
      </c>
      <c r="F143" s="35">
        <f t="shared" si="14"/>
        <v>250000</v>
      </c>
      <c r="G143" s="149"/>
      <c r="H143" s="149"/>
      <c r="I143" s="149">
        <v>250000</v>
      </c>
      <c r="J143" s="149"/>
      <c r="K143" s="75"/>
      <c r="L143" s="35">
        <f t="shared" si="15"/>
        <v>250000</v>
      </c>
      <c r="M143" s="149"/>
      <c r="N143" s="149"/>
      <c r="O143" s="149">
        <v>250000</v>
      </c>
      <c r="P143" s="149"/>
      <c r="Q143" s="75"/>
      <c r="R143" s="3">
        <v>86100.01</v>
      </c>
      <c r="T143" s="202">
        <f t="shared" si="10"/>
        <v>0.34440003999999996</v>
      </c>
      <c r="U143" s="202" t="e">
        <f t="shared" si="11"/>
        <v>#DIV/0!</v>
      </c>
    </row>
    <row r="144" spans="1:21" s="3" customFormat="1" ht="24.75" customHeight="1">
      <c r="A144" s="107"/>
      <c r="B144" s="173"/>
      <c r="C144" s="261" t="s">
        <v>290</v>
      </c>
      <c r="D144" s="259">
        <v>425220</v>
      </c>
      <c r="E144" s="251" t="s">
        <v>291</v>
      </c>
      <c r="F144" s="249">
        <f t="shared" si="14"/>
        <v>667000</v>
      </c>
      <c r="G144" s="252"/>
      <c r="H144" s="252"/>
      <c r="I144" s="252">
        <f>+I145+I146+I147+I148+I149+I150</f>
        <v>592000</v>
      </c>
      <c r="J144" s="252"/>
      <c r="K144" s="252">
        <f>+K145+K146+K147+K148+K149+K150</f>
        <v>75000</v>
      </c>
      <c r="L144" s="249">
        <f t="shared" si="15"/>
        <v>711532</v>
      </c>
      <c r="M144" s="252"/>
      <c r="N144" s="252"/>
      <c r="O144" s="252">
        <f>+O145+O146+O147+O148+O149+O150</f>
        <v>620532</v>
      </c>
      <c r="P144" s="252"/>
      <c r="Q144" s="252">
        <f>+Q145+Q146+Q147+Q148+Q149+Q150</f>
        <v>91000</v>
      </c>
      <c r="T144" s="202">
        <f t="shared" si="10"/>
        <v>0</v>
      </c>
      <c r="U144" s="202">
        <f t="shared" si="11"/>
        <v>0</v>
      </c>
    </row>
    <row r="145" spans="1:21" s="3" customFormat="1" ht="19.5" customHeight="1" hidden="1">
      <c r="A145" s="98"/>
      <c r="B145" s="174"/>
      <c r="C145" s="110" t="s">
        <v>292</v>
      </c>
      <c r="D145" s="11">
        <v>425221</v>
      </c>
      <c r="E145" s="32" t="s">
        <v>293</v>
      </c>
      <c r="F145" s="35">
        <f t="shared" si="14"/>
        <v>200000</v>
      </c>
      <c r="G145" s="146"/>
      <c r="H145" s="146"/>
      <c r="I145" s="75">
        <v>200000</v>
      </c>
      <c r="J145" s="75"/>
      <c r="K145" s="75"/>
      <c r="L145" s="35">
        <f t="shared" si="15"/>
        <v>200000</v>
      </c>
      <c r="M145" s="146"/>
      <c r="N145" s="146"/>
      <c r="O145" s="75">
        <v>200000</v>
      </c>
      <c r="P145" s="75"/>
      <c r="Q145" s="75"/>
      <c r="R145" s="3">
        <v>11898</v>
      </c>
      <c r="T145" s="202">
        <f t="shared" si="10"/>
        <v>0.05949</v>
      </c>
      <c r="U145" s="202" t="e">
        <f t="shared" si="11"/>
        <v>#DIV/0!</v>
      </c>
    </row>
    <row r="146" spans="1:21" s="3" customFormat="1" ht="19.5" customHeight="1" hidden="1">
      <c r="A146" s="98"/>
      <c r="B146" s="117"/>
      <c r="C146" s="110" t="s">
        <v>294</v>
      </c>
      <c r="D146" s="11">
        <v>425222</v>
      </c>
      <c r="E146" s="32" t="s">
        <v>295</v>
      </c>
      <c r="F146" s="35">
        <f t="shared" si="14"/>
        <v>78000</v>
      </c>
      <c r="G146" s="146"/>
      <c r="H146" s="146"/>
      <c r="I146" s="75">
        <v>78000</v>
      </c>
      <c r="J146" s="75"/>
      <c r="K146" s="75"/>
      <c r="L146" s="35">
        <f t="shared" si="15"/>
        <v>78000</v>
      </c>
      <c r="M146" s="146"/>
      <c r="N146" s="146"/>
      <c r="O146" s="75">
        <v>78000</v>
      </c>
      <c r="P146" s="75"/>
      <c r="Q146" s="75"/>
      <c r="R146" s="3">
        <v>25529</v>
      </c>
      <c r="T146" s="202">
        <f t="shared" si="10"/>
        <v>0.3272948717948718</v>
      </c>
      <c r="U146" s="202" t="e">
        <f t="shared" si="11"/>
        <v>#DIV/0!</v>
      </c>
    </row>
    <row r="147" spans="1:21" s="3" customFormat="1" ht="19.5" customHeight="1" hidden="1">
      <c r="A147" s="98"/>
      <c r="B147" s="117"/>
      <c r="C147" s="110" t="s">
        <v>296</v>
      </c>
      <c r="D147" s="11">
        <v>425223</v>
      </c>
      <c r="E147" s="32" t="s">
        <v>297</v>
      </c>
      <c r="F147" s="35">
        <f t="shared" si="14"/>
        <v>24000</v>
      </c>
      <c r="G147" s="146"/>
      <c r="H147" s="146"/>
      <c r="I147" s="75">
        <v>24000</v>
      </c>
      <c r="J147" s="75"/>
      <c r="K147" s="75"/>
      <c r="L147" s="35">
        <f t="shared" si="15"/>
        <v>24000</v>
      </c>
      <c r="M147" s="146"/>
      <c r="N147" s="146"/>
      <c r="O147" s="75">
        <v>24000</v>
      </c>
      <c r="P147" s="75"/>
      <c r="Q147" s="75"/>
      <c r="T147" s="202">
        <f t="shared" si="10"/>
        <v>0</v>
      </c>
      <c r="U147" s="202" t="e">
        <f t="shared" si="11"/>
        <v>#DIV/0!</v>
      </c>
    </row>
    <row r="148" spans="1:21" s="3" customFormat="1" ht="19.5" customHeight="1" hidden="1">
      <c r="A148" s="98"/>
      <c r="B148" s="117"/>
      <c r="C148" s="213" t="s">
        <v>298</v>
      </c>
      <c r="D148" s="205">
        <v>425224</v>
      </c>
      <c r="E148" s="206" t="s">
        <v>299</v>
      </c>
      <c r="F148" s="207">
        <f t="shared" si="14"/>
        <v>40000</v>
      </c>
      <c r="G148" s="224"/>
      <c r="H148" s="224"/>
      <c r="I148" s="208"/>
      <c r="J148" s="208"/>
      <c r="K148" s="208">
        <v>40000</v>
      </c>
      <c r="L148" s="207">
        <f t="shared" si="15"/>
        <v>71500</v>
      </c>
      <c r="M148" s="224"/>
      <c r="N148" s="224"/>
      <c r="O148" s="208">
        <v>15500</v>
      </c>
      <c r="P148" s="208"/>
      <c r="Q148" s="208">
        <v>56000</v>
      </c>
      <c r="R148" s="3">
        <v>15230</v>
      </c>
      <c r="S148" s="3">
        <v>55360</v>
      </c>
      <c r="T148" s="202">
        <f t="shared" si="10"/>
        <v>0.9825806451612903</v>
      </c>
      <c r="U148" s="202">
        <f t="shared" si="11"/>
        <v>0.9885714285714285</v>
      </c>
    </row>
    <row r="149" spans="1:21" s="3" customFormat="1" ht="28.5" customHeight="1" hidden="1">
      <c r="A149" s="98"/>
      <c r="B149" s="117"/>
      <c r="C149" s="213" t="s">
        <v>300</v>
      </c>
      <c r="D149" s="205">
        <v>425225</v>
      </c>
      <c r="E149" s="206" t="s">
        <v>301</v>
      </c>
      <c r="F149" s="207">
        <f t="shared" si="14"/>
        <v>90000</v>
      </c>
      <c r="G149" s="224"/>
      <c r="H149" s="224"/>
      <c r="I149" s="208">
        <v>90000</v>
      </c>
      <c r="J149" s="208"/>
      <c r="K149" s="208"/>
      <c r="L149" s="207">
        <f t="shared" si="15"/>
        <v>103032</v>
      </c>
      <c r="M149" s="224"/>
      <c r="N149" s="224"/>
      <c r="O149" s="208">
        <v>103032</v>
      </c>
      <c r="P149" s="208"/>
      <c r="Q149" s="208"/>
      <c r="R149" s="3">
        <v>103032</v>
      </c>
      <c r="T149" s="203">
        <f t="shared" si="10"/>
        <v>1</v>
      </c>
      <c r="U149" s="202" t="e">
        <f t="shared" si="11"/>
        <v>#DIV/0!</v>
      </c>
    </row>
    <row r="150" spans="1:21" s="3" customFormat="1" ht="19.5" customHeight="1" hidden="1">
      <c r="A150" s="98"/>
      <c r="B150" s="117"/>
      <c r="C150" s="110" t="s">
        <v>302</v>
      </c>
      <c r="D150" s="11">
        <v>425227</v>
      </c>
      <c r="E150" s="32" t="s">
        <v>303</v>
      </c>
      <c r="F150" s="35">
        <f t="shared" si="14"/>
        <v>235000</v>
      </c>
      <c r="G150" s="146"/>
      <c r="H150" s="146"/>
      <c r="I150" s="75">
        <v>200000</v>
      </c>
      <c r="J150" s="75"/>
      <c r="K150" s="75">
        <v>35000</v>
      </c>
      <c r="L150" s="35">
        <f t="shared" si="15"/>
        <v>235000</v>
      </c>
      <c r="M150" s="146"/>
      <c r="N150" s="146"/>
      <c r="O150" s="75">
        <v>200000</v>
      </c>
      <c r="P150" s="75"/>
      <c r="Q150" s="75">
        <v>35000</v>
      </c>
      <c r="R150" s="3">
        <v>67020</v>
      </c>
      <c r="S150" s="3">
        <v>21044.04</v>
      </c>
      <c r="T150" s="202">
        <f t="shared" si="10"/>
        <v>0.3351</v>
      </c>
      <c r="U150" s="202">
        <f t="shared" si="11"/>
        <v>0.6012582857142857</v>
      </c>
    </row>
    <row r="151" spans="1:21" s="3" customFormat="1" ht="24" customHeight="1">
      <c r="A151" s="107"/>
      <c r="B151" s="172"/>
      <c r="C151" s="261" t="s">
        <v>304</v>
      </c>
      <c r="D151" s="247">
        <v>425250</v>
      </c>
      <c r="E151" s="251" t="s">
        <v>305</v>
      </c>
      <c r="F151" s="249">
        <f t="shared" si="14"/>
        <v>1850000</v>
      </c>
      <c r="G151" s="252"/>
      <c r="H151" s="252"/>
      <c r="I151" s="252">
        <f>+I152+I153+I154+I155+I156</f>
        <v>1850000</v>
      </c>
      <c r="J151" s="252"/>
      <c r="K151" s="252"/>
      <c r="L151" s="249">
        <f t="shared" si="15"/>
        <v>2520000</v>
      </c>
      <c r="M151" s="252"/>
      <c r="N151" s="252"/>
      <c r="O151" s="252">
        <f>+O152+O153+O154+O155+O156</f>
        <v>2520000</v>
      </c>
      <c r="P151" s="252"/>
      <c r="Q151" s="252"/>
      <c r="T151" s="202">
        <f t="shared" si="10"/>
        <v>0</v>
      </c>
      <c r="U151" s="202" t="e">
        <f t="shared" si="11"/>
        <v>#DIV/0!</v>
      </c>
    </row>
    <row r="152" spans="1:21" s="3" customFormat="1" ht="25.5" customHeight="1" hidden="1">
      <c r="A152" s="98"/>
      <c r="B152" s="174"/>
      <c r="C152" s="213" t="s">
        <v>306</v>
      </c>
      <c r="D152" s="205">
        <v>425251</v>
      </c>
      <c r="E152" s="206" t="s">
        <v>305</v>
      </c>
      <c r="F152" s="207">
        <f t="shared" si="14"/>
        <v>730000</v>
      </c>
      <c r="G152" s="224"/>
      <c r="H152" s="208"/>
      <c r="I152" s="208">
        <v>730000</v>
      </c>
      <c r="J152" s="208"/>
      <c r="K152" s="224"/>
      <c r="L152" s="207">
        <f t="shared" si="15"/>
        <v>900000</v>
      </c>
      <c r="M152" s="224"/>
      <c r="N152" s="208"/>
      <c r="O152" s="208">
        <v>900000</v>
      </c>
      <c r="P152" s="208"/>
      <c r="Q152" s="224"/>
      <c r="R152" s="3">
        <v>732699.48</v>
      </c>
      <c r="T152" s="203">
        <f t="shared" si="10"/>
        <v>0.8141105333333333</v>
      </c>
      <c r="U152" s="202" t="e">
        <f t="shared" si="11"/>
        <v>#DIV/0!</v>
      </c>
    </row>
    <row r="153" spans="1:21" s="3" customFormat="1" ht="27" customHeight="1" hidden="1">
      <c r="A153" s="98"/>
      <c r="B153" s="111"/>
      <c r="C153" s="213" t="s">
        <v>307</v>
      </c>
      <c r="D153" s="205">
        <v>42525104</v>
      </c>
      <c r="E153" s="206" t="s">
        <v>308</v>
      </c>
      <c r="F153" s="207">
        <f t="shared" si="14"/>
        <v>1000000</v>
      </c>
      <c r="G153" s="208"/>
      <c r="H153" s="208"/>
      <c r="I153" s="208">
        <v>1000000</v>
      </c>
      <c r="J153" s="208"/>
      <c r="K153" s="208"/>
      <c r="L153" s="207">
        <f t="shared" si="15"/>
        <v>1500000</v>
      </c>
      <c r="M153" s="208"/>
      <c r="N153" s="208"/>
      <c r="O153" s="208">
        <v>1500000</v>
      </c>
      <c r="P153" s="208"/>
      <c r="Q153" s="208"/>
      <c r="R153" s="3">
        <v>1239636.8</v>
      </c>
      <c r="T153" s="203">
        <f t="shared" si="10"/>
        <v>0.8264245333333333</v>
      </c>
      <c r="U153" s="202" t="e">
        <f t="shared" si="11"/>
        <v>#DIV/0!</v>
      </c>
    </row>
    <row r="154" spans="1:21" s="3" customFormat="1" ht="39" customHeight="1" hidden="1">
      <c r="A154" s="98"/>
      <c r="B154" s="117"/>
      <c r="C154" s="110" t="s">
        <v>309</v>
      </c>
      <c r="D154" s="11">
        <v>425252</v>
      </c>
      <c r="E154" s="151" t="s">
        <v>310</v>
      </c>
      <c r="F154" s="35">
        <f t="shared" si="14"/>
        <v>50000</v>
      </c>
      <c r="G154" s="75"/>
      <c r="H154" s="75"/>
      <c r="I154" s="75">
        <v>50000</v>
      </c>
      <c r="J154" s="75"/>
      <c r="K154" s="75"/>
      <c r="L154" s="35">
        <f t="shared" si="15"/>
        <v>50000</v>
      </c>
      <c r="M154" s="75"/>
      <c r="N154" s="75"/>
      <c r="O154" s="75">
        <v>50000</v>
      </c>
      <c r="P154" s="75"/>
      <c r="Q154" s="75"/>
      <c r="R154" s="3">
        <v>39885.42</v>
      </c>
      <c r="T154" s="202">
        <f t="shared" si="10"/>
        <v>0.7977084</v>
      </c>
      <c r="U154" s="202" t="e">
        <f t="shared" si="11"/>
        <v>#DIV/0!</v>
      </c>
    </row>
    <row r="155" spans="1:21" s="3" customFormat="1" ht="33.75" customHeight="1" hidden="1">
      <c r="A155" s="98"/>
      <c r="B155" s="175"/>
      <c r="C155" s="110" t="s">
        <v>311</v>
      </c>
      <c r="D155" s="11">
        <v>425253</v>
      </c>
      <c r="E155" s="169" t="s">
        <v>312</v>
      </c>
      <c r="F155" s="35">
        <f t="shared" si="14"/>
        <v>65000</v>
      </c>
      <c r="G155" s="75"/>
      <c r="H155" s="75"/>
      <c r="I155" s="75">
        <v>65000</v>
      </c>
      <c r="J155" s="75"/>
      <c r="K155" s="75"/>
      <c r="L155" s="35">
        <f t="shared" si="15"/>
        <v>65000</v>
      </c>
      <c r="M155" s="75"/>
      <c r="N155" s="75"/>
      <c r="O155" s="75">
        <v>65000</v>
      </c>
      <c r="P155" s="75"/>
      <c r="Q155" s="75"/>
      <c r="T155" s="202">
        <f t="shared" si="10"/>
        <v>0</v>
      </c>
      <c r="U155" s="202" t="e">
        <f t="shared" si="11"/>
        <v>#DIV/0!</v>
      </c>
    </row>
    <row r="156" spans="1:21" s="3" customFormat="1" ht="24" customHeight="1" hidden="1">
      <c r="A156" s="98"/>
      <c r="B156" s="175"/>
      <c r="C156" s="110" t="s">
        <v>313</v>
      </c>
      <c r="D156" s="11">
        <v>425281</v>
      </c>
      <c r="E156" s="169" t="s">
        <v>314</v>
      </c>
      <c r="F156" s="35">
        <f t="shared" si="14"/>
        <v>5000</v>
      </c>
      <c r="G156" s="75"/>
      <c r="H156" s="75"/>
      <c r="I156" s="75">
        <v>5000</v>
      </c>
      <c r="J156" s="75"/>
      <c r="K156" s="75"/>
      <c r="L156" s="35">
        <f t="shared" si="15"/>
        <v>5000</v>
      </c>
      <c r="M156" s="75"/>
      <c r="N156" s="75"/>
      <c r="O156" s="75">
        <v>5000</v>
      </c>
      <c r="P156" s="75"/>
      <c r="Q156" s="75"/>
      <c r="T156" s="202">
        <f t="shared" si="10"/>
        <v>0</v>
      </c>
      <c r="U156" s="202" t="e">
        <f t="shared" si="11"/>
        <v>#DIV/0!</v>
      </c>
    </row>
    <row r="157" spans="1:21" s="3" customFormat="1" ht="24" customHeight="1">
      <c r="A157" s="85">
        <v>6</v>
      </c>
      <c r="B157" s="36">
        <v>426000</v>
      </c>
      <c r="C157" s="11"/>
      <c r="D157" s="325" t="s">
        <v>111</v>
      </c>
      <c r="E157" s="325"/>
      <c r="F157" s="38">
        <f t="shared" si="14"/>
        <v>87880943</v>
      </c>
      <c r="G157" s="78"/>
      <c r="H157" s="78">
        <f>+H158+H165+H166+H174+H186+H192</f>
        <v>1000000</v>
      </c>
      <c r="I157" s="38">
        <f>+I158+I164+I166+I174+I186+I192+I172</f>
        <v>83630943</v>
      </c>
      <c r="J157" s="38"/>
      <c r="K157" s="38">
        <f>+K158+K165+K166+K174+K186+K192+K172</f>
        <v>3250000</v>
      </c>
      <c r="L157" s="38">
        <f t="shared" si="15"/>
        <v>82465322.4</v>
      </c>
      <c r="M157" s="78"/>
      <c r="N157" s="78">
        <f>+N158+N165+N166+N174+N186+N192</f>
        <v>1000000</v>
      </c>
      <c r="O157" s="38">
        <f>+O158+O164+O166+O174+O186+O192+O172</f>
        <v>79839910.01</v>
      </c>
      <c r="P157" s="38"/>
      <c r="Q157" s="38">
        <f>+Q158+Q165+Q166+Q174+Q186+Q192+Q172</f>
        <v>1625412.3900000001</v>
      </c>
      <c r="T157" s="202">
        <f t="shared" si="10"/>
        <v>0</v>
      </c>
      <c r="U157" s="202">
        <f t="shared" si="11"/>
        <v>0</v>
      </c>
    </row>
    <row r="158" spans="1:21" s="3" customFormat="1" ht="24.75" customHeight="1">
      <c r="A158" s="72"/>
      <c r="B158" s="5"/>
      <c r="C158" s="261" t="s">
        <v>112</v>
      </c>
      <c r="D158" s="247">
        <v>426100</v>
      </c>
      <c r="E158" s="251" t="s">
        <v>315</v>
      </c>
      <c r="F158" s="249">
        <f t="shared" si="14"/>
        <v>3640000</v>
      </c>
      <c r="G158" s="252"/>
      <c r="H158" s="252">
        <f>+H159+H160+H161+H162</f>
        <v>1000000</v>
      </c>
      <c r="I158" s="252">
        <f>+I159+I160+I161</f>
        <v>2610000</v>
      </c>
      <c r="J158" s="252"/>
      <c r="K158" s="252">
        <f>+K159+K160+K161+K163</f>
        <v>30000</v>
      </c>
      <c r="L158" s="249">
        <f t="shared" si="15"/>
        <v>3134073.01</v>
      </c>
      <c r="M158" s="252"/>
      <c r="N158" s="252">
        <f>+N159+N160+N161+N162</f>
        <v>1000000</v>
      </c>
      <c r="O158" s="252">
        <f>+O159+O160+O161</f>
        <v>2104073.01</v>
      </c>
      <c r="P158" s="252"/>
      <c r="Q158" s="252">
        <f>+Q159+Q160+Q161+Q163</f>
        <v>30000</v>
      </c>
      <c r="T158" s="202">
        <f t="shared" si="10"/>
        <v>0</v>
      </c>
      <c r="U158" s="202">
        <f t="shared" si="11"/>
        <v>0</v>
      </c>
    </row>
    <row r="159" spans="1:21" s="3" customFormat="1" ht="19.5" customHeight="1" hidden="1">
      <c r="A159" s="98"/>
      <c r="B159" s="174"/>
      <c r="C159" s="110" t="s">
        <v>316</v>
      </c>
      <c r="D159" s="11">
        <v>426111</v>
      </c>
      <c r="E159" s="32" t="s">
        <v>317</v>
      </c>
      <c r="F159" s="35">
        <f t="shared" si="14"/>
        <v>660000</v>
      </c>
      <c r="G159" s="75"/>
      <c r="H159" s="75"/>
      <c r="I159" s="75">
        <f>800000-140000</f>
        <v>660000</v>
      </c>
      <c r="J159" s="75"/>
      <c r="K159" s="75"/>
      <c r="L159" s="35">
        <f t="shared" si="15"/>
        <v>660000</v>
      </c>
      <c r="M159" s="75"/>
      <c r="N159" s="75"/>
      <c r="O159" s="75">
        <f>800000-140000</f>
        <v>660000</v>
      </c>
      <c r="P159" s="75"/>
      <c r="Q159" s="75"/>
      <c r="R159" s="3">
        <v>320226</v>
      </c>
      <c r="T159" s="202">
        <f t="shared" si="10"/>
        <v>0.4851909090909091</v>
      </c>
      <c r="U159" s="202" t="e">
        <f t="shared" si="11"/>
        <v>#DIV/0!</v>
      </c>
    </row>
    <row r="160" spans="1:21" s="3" customFormat="1" ht="19.5" customHeight="1" hidden="1">
      <c r="A160" s="98"/>
      <c r="B160" s="117"/>
      <c r="C160" s="213" t="s">
        <v>318</v>
      </c>
      <c r="D160" s="205">
        <v>4261111</v>
      </c>
      <c r="E160" s="206" t="s">
        <v>319</v>
      </c>
      <c r="F160" s="207">
        <f t="shared" si="14"/>
        <v>1500000</v>
      </c>
      <c r="G160" s="208"/>
      <c r="H160" s="208"/>
      <c r="I160" s="208">
        <v>1500000</v>
      </c>
      <c r="J160" s="208"/>
      <c r="K160" s="208"/>
      <c r="L160" s="207">
        <f t="shared" si="15"/>
        <v>994073.01</v>
      </c>
      <c r="M160" s="208"/>
      <c r="N160" s="208"/>
      <c r="O160" s="208">
        <f>1500000-505926.99</f>
        <v>994073.01</v>
      </c>
      <c r="P160" s="208"/>
      <c r="Q160" s="208"/>
      <c r="R160" s="3">
        <v>440287.28</v>
      </c>
      <c r="T160" s="202">
        <f t="shared" si="10"/>
        <v>0.4429124174692159</v>
      </c>
      <c r="U160" s="202" t="e">
        <f t="shared" si="11"/>
        <v>#DIV/0!</v>
      </c>
    </row>
    <row r="161" spans="1:21" s="3" customFormat="1" ht="26.25" customHeight="1" hidden="1">
      <c r="A161" s="98"/>
      <c r="B161" s="117"/>
      <c r="C161" s="110" t="s">
        <v>320</v>
      </c>
      <c r="D161" s="11">
        <v>4261112</v>
      </c>
      <c r="E161" s="32" t="s">
        <v>321</v>
      </c>
      <c r="F161" s="35">
        <f t="shared" si="14"/>
        <v>450000</v>
      </c>
      <c r="G161" s="75"/>
      <c r="H161" s="75"/>
      <c r="I161" s="75">
        <v>450000</v>
      </c>
      <c r="J161" s="75"/>
      <c r="K161" s="75"/>
      <c r="L161" s="35">
        <f t="shared" si="15"/>
        <v>450000</v>
      </c>
      <c r="M161" s="75"/>
      <c r="N161" s="75"/>
      <c r="O161" s="75">
        <v>450000</v>
      </c>
      <c r="P161" s="75"/>
      <c r="Q161" s="75"/>
      <c r="R161" s="3">
        <v>246727.6</v>
      </c>
      <c r="T161" s="202">
        <f t="shared" si="10"/>
        <v>0.5482835555555555</v>
      </c>
      <c r="U161" s="202" t="e">
        <f t="shared" si="11"/>
        <v>#DIV/0!</v>
      </c>
    </row>
    <row r="162" spans="1:21" s="3" customFormat="1" ht="19.5" customHeight="1" hidden="1">
      <c r="A162" s="98"/>
      <c r="B162" s="117"/>
      <c r="C162" s="110" t="s">
        <v>322</v>
      </c>
      <c r="D162" s="11">
        <v>426123</v>
      </c>
      <c r="E162" s="32" t="s">
        <v>323</v>
      </c>
      <c r="F162" s="35">
        <f t="shared" si="14"/>
        <v>1000000</v>
      </c>
      <c r="G162" s="75"/>
      <c r="H162" s="75">
        <v>1000000</v>
      </c>
      <c r="I162" s="75"/>
      <c r="J162" s="75"/>
      <c r="K162" s="75"/>
      <c r="L162" s="35">
        <f t="shared" si="15"/>
        <v>1000000</v>
      </c>
      <c r="M162" s="75"/>
      <c r="N162" s="75">
        <v>1000000</v>
      </c>
      <c r="O162" s="75"/>
      <c r="P162" s="75"/>
      <c r="Q162" s="75"/>
      <c r="T162" s="202" t="e">
        <f t="shared" si="10"/>
        <v>#DIV/0!</v>
      </c>
      <c r="U162" s="202" t="e">
        <f t="shared" si="11"/>
        <v>#DIV/0!</v>
      </c>
    </row>
    <row r="163" spans="1:21" s="3" customFormat="1" ht="19.5" customHeight="1" hidden="1">
      <c r="A163" s="98"/>
      <c r="B163" s="117"/>
      <c r="C163" s="110" t="s">
        <v>324</v>
      </c>
      <c r="D163" s="11">
        <v>426131</v>
      </c>
      <c r="E163" s="32" t="s">
        <v>325</v>
      </c>
      <c r="F163" s="35">
        <f t="shared" si="14"/>
        <v>30000</v>
      </c>
      <c r="G163" s="75"/>
      <c r="H163" s="75"/>
      <c r="I163" s="146"/>
      <c r="J163" s="146"/>
      <c r="K163" s="75">
        <v>30000</v>
      </c>
      <c r="L163" s="35">
        <f t="shared" si="15"/>
        <v>30000</v>
      </c>
      <c r="M163" s="75"/>
      <c r="N163" s="75"/>
      <c r="O163" s="146"/>
      <c r="P163" s="146"/>
      <c r="Q163" s="75">
        <v>30000</v>
      </c>
      <c r="S163" s="3">
        <v>15290</v>
      </c>
      <c r="T163" s="202" t="e">
        <f t="shared" si="10"/>
        <v>#DIV/0!</v>
      </c>
      <c r="U163" s="202">
        <f t="shared" si="11"/>
        <v>0.5096666666666667</v>
      </c>
    </row>
    <row r="164" spans="1:21" s="3" customFormat="1" ht="24.75" customHeight="1">
      <c r="A164" s="98"/>
      <c r="B164" s="108"/>
      <c r="C164" s="108" t="s">
        <v>113</v>
      </c>
      <c r="D164" s="36">
        <v>426300</v>
      </c>
      <c r="E164" s="151" t="s">
        <v>114</v>
      </c>
      <c r="F164" s="38">
        <f t="shared" si="14"/>
        <v>370000</v>
      </c>
      <c r="G164" s="146"/>
      <c r="H164" s="146"/>
      <c r="I164" s="146">
        <f>+I165</f>
        <v>200000</v>
      </c>
      <c r="J164" s="146"/>
      <c r="K164" s="146">
        <f>+K165</f>
        <v>170000</v>
      </c>
      <c r="L164" s="38">
        <f t="shared" si="15"/>
        <v>370000</v>
      </c>
      <c r="M164" s="146"/>
      <c r="N164" s="146"/>
      <c r="O164" s="146">
        <f>+O165</f>
        <v>200000</v>
      </c>
      <c r="P164" s="146"/>
      <c r="Q164" s="146">
        <f>+Q165</f>
        <v>170000</v>
      </c>
      <c r="T164" s="202">
        <f t="shared" si="10"/>
        <v>0</v>
      </c>
      <c r="U164" s="202">
        <f t="shared" si="11"/>
        <v>0</v>
      </c>
    </row>
    <row r="165" spans="1:21" s="3" customFormat="1" ht="24.75" customHeight="1" hidden="1">
      <c r="A165" s="107"/>
      <c r="B165" s="99"/>
      <c r="C165" s="109" t="s">
        <v>326</v>
      </c>
      <c r="D165" s="11">
        <v>426311</v>
      </c>
      <c r="E165" s="32" t="s">
        <v>327</v>
      </c>
      <c r="F165" s="35">
        <f t="shared" si="14"/>
        <v>370000</v>
      </c>
      <c r="G165" s="75"/>
      <c r="H165" s="75"/>
      <c r="I165" s="75">
        <v>200000</v>
      </c>
      <c r="J165" s="75"/>
      <c r="K165" s="75">
        <v>170000</v>
      </c>
      <c r="L165" s="35">
        <f t="shared" si="15"/>
        <v>370000</v>
      </c>
      <c r="M165" s="75"/>
      <c r="N165" s="75"/>
      <c r="O165" s="75">
        <v>200000</v>
      </c>
      <c r="P165" s="75"/>
      <c r="Q165" s="75">
        <v>170000</v>
      </c>
      <c r="R165" s="3">
        <v>87767</v>
      </c>
      <c r="S165" s="3">
        <v>130103.5</v>
      </c>
      <c r="T165" s="202">
        <f t="shared" si="10"/>
        <v>0.438835</v>
      </c>
      <c r="U165" s="202">
        <f t="shared" si="11"/>
        <v>0.765314705882353</v>
      </c>
    </row>
    <row r="166" spans="1:21" s="3" customFormat="1" ht="24.75" customHeight="1">
      <c r="A166" s="107"/>
      <c r="B166" s="116"/>
      <c r="C166" s="261" t="s">
        <v>115</v>
      </c>
      <c r="D166" s="247">
        <v>426400</v>
      </c>
      <c r="E166" s="251" t="s">
        <v>328</v>
      </c>
      <c r="F166" s="249">
        <f t="shared" si="14"/>
        <v>13859000</v>
      </c>
      <c r="G166" s="252"/>
      <c r="H166" s="252"/>
      <c r="I166" s="252">
        <f>+I167+I168+I169+I170+I171</f>
        <v>13309000</v>
      </c>
      <c r="J166" s="252"/>
      <c r="K166" s="252">
        <f>+K168</f>
        <v>550000</v>
      </c>
      <c r="L166" s="249">
        <f t="shared" si="15"/>
        <v>13070143.39</v>
      </c>
      <c r="M166" s="252"/>
      <c r="N166" s="252"/>
      <c r="O166" s="252">
        <f>+O167+O168+O169+O170+O171</f>
        <v>12790143</v>
      </c>
      <c r="P166" s="252"/>
      <c r="Q166" s="252">
        <f>+Q168</f>
        <v>280000.39</v>
      </c>
      <c r="T166" s="202">
        <f t="shared" si="10"/>
        <v>0</v>
      </c>
      <c r="U166" s="202">
        <f t="shared" si="11"/>
        <v>0</v>
      </c>
    </row>
    <row r="167" spans="1:21" s="3" customFormat="1" ht="19.5" customHeight="1" hidden="1">
      <c r="A167" s="107"/>
      <c r="B167" s="174"/>
      <c r="C167" s="109" t="s">
        <v>329</v>
      </c>
      <c r="D167" s="11">
        <v>4264111</v>
      </c>
      <c r="E167" s="32" t="s">
        <v>330</v>
      </c>
      <c r="F167" s="35">
        <f t="shared" si="14"/>
        <v>30000</v>
      </c>
      <c r="G167" s="75"/>
      <c r="H167" s="75"/>
      <c r="I167" s="75">
        <v>30000</v>
      </c>
      <c r="J167" s="75"/>
      <c r="K167" s="75"/>
      <c r="L167" s="35">
        <f t="shared" si="15"/>
        <v>30000</v>
      </c>
      <c r="M167" s="75"/>
      <c r="N167" s="75"/>
      <c r="O167" s="75">
        <v>30000</v>
      </c>
      <c r="P167" s="75"/>
      <c r="Q167" s="75"/>
      <c r="R167" s="3">
        <v>14755.88</v>
      </c>
      <c r="T167" s="202">
        <f t="shared" si="10"/>
        <v>0.4918626666666666</v>
      </c>
      <c r="U167" s="202" t="e">
        <f t="shared" si="11"/>
        <v>#DIV/0!</v>
      </c>
    </row>
    <row r="168" spans="1:23" s="3" customFormat="1" ht="19.5" customHeight="1" hidden="1">
      <c r="A168" s="107"/>
      <c r="B168" s="117"/>
      <c r="C168" s="109" t="s">
        <v>331</v>
      </c>
      <c r="D168" s="205">
        <v>426412</v>
      </c>
      <c r="E168" s="206" t="s">
        <v>332</v>
      </c>
      <c r="F168" s="207">
        <f t="shared" si="14"/>
        <v>12531000</v>
      </c>
      <c r="G168" s="208"/>
      <c r="H168" s="208"/>
      <c r="I168" s="208">
        <v>11981000</v>
      </c>
      <c r="J168" s="208"/>
      <c r="K168" s="208">
        <v>550000</v>
      </c>
      <c r="L168" s="207">
        <f t="shared" si="15"/>
        <v>11742143.39</v>
      </c>
      <c r="M168" s="208"/>
      <c r="N168" s="208"/>
      <c r="O168" s="208">
        <f>11981000-518857</f>
        <v>11462143</v>
      </c>
      <c r="P168" s="208"/>
      <c r="Q168" s="208">
        <f>550000-269999.61</f>
        <v>280000.39</v>
      </c>
      <c r="R168" s="3">
        <v>6806697.99</v>
      </c>
      <c r="T168" s="202">
        <f t="shared" si="10"/>
        <v>0.5938416568350264</v>
      </c>
      <c r="U168" s="202">
        <f t="shared" si="11"/>
        <v>0</v>
      </c>
      <c r="W168" s="3">
        <v>8457000</v>
      </c>
    </row>
    <row r="169" spans="1:23" s="3" customFormat="1" ht="19.5" customHeight="1" hidden="1">
      <c r="A169" s="107"/>
      <c r="B169" s="117"/>
      <c r="C169" s="109" t="s">
        <v>333</v>
      </c>
      <c r="D169" s="11">
        <v>426413</v>
      </c>
      <c r="E169" s="32" t="s">
        <v>334</v>
      </c>
      <c r="F169" s="35">
        <f t="shared" si="14"/>
        <v>60000</v>
      </c>
      <c r="G169" s="75"/>
      <c r="H169" s="75"/>
      <c r="I169" s="75">
        <v>60000</v>
      </c>
      <c r="J169" s="75"/>
      <c r="K169" s="75"/>
      <c r="L169" s="35">
        <f t="shared" si="15"/>
        <v>60000</v>
      </c>
      <c r="M169" s="75"/>
      <c r="N169" s="75"/>
      <c r="O169" s="75">
        <v>60000</v>
      </c>
      <c r="P169" s="75"/>
      <c r="Q169" s="75"/>
      <c r="R169" s="3">
        <v>41100</v>
      </c>
      <c r="T169" s="202">
        <f t="shared" si="10"/>
        <v>0.685</v>
      </c>
      <c r="U169" s="202" t="e">
        <f t="shared" si="11"/>
        <v>#DIV/0!</v>
      </c>
      <c r="W169" s="135">
        <f>+W168/O168</f>
        <v>0.7378201441039429</v>
      </c>
    </row>
    <row r="170" spans="1:21" s="3" customFormat="1" ht="19.5" customHeight="1" hidden="1">
      <c r="A170" s="107"/>
      <c r="B170" s="117"/>
      <c r="C170" s="109" t="s">
        <v>335</v>
      </c>
      <c r="D170" s="11">
        <v>4264911</v>
      </c>
      <c r="E170" s="32" t="s">
        <v>336</v>
      </c>
      <c r="F170" s="35">
        <f t="shared" si="14"/>
        <v>1138000</v>
      </c>
      <c r="G170" s="75"/>
      <c r="H170" s="75"/>
      <c r="I170" s="75">
        <v>1138000</v>
      </c>
      <c r="J170" s="75"/>
      <c r="K170" s="75"/>
      <c r="L170" s="35">
        <f t="shared" si="15"/>
        <v>1138000</v>
      </c>
      <c r="M170" s="75"/>
      <c r="N170" s="75"/>
      <c r="O170" s="75">
        <v>1138000</v>
      </c>
      <c r="P170" s="75"/>
      <c r="Q170" s="75"/>
      <c r="R170" s="3">
        <v>712944</v>
      </c>
      <c r="T170" s="202">
        <f aca="true" t="shared" si="16" ref="T170:T235">+R170/O170</f>
        <v>0.6264885764499121</v>
      </c>
      <c r="U170" s="202" t="e">
        <f aca="true" t="shared" si="17" ref="U170:U235">+S170/Q170</f>
        <v>#DIV/0!</v>
      </c>
    </row>
    <row r="171" spans="1:21" s="3" customFormat="1" ht="19.5" customHeight="1" hidden="1">
      <c r="A171" s="107"/>
      <c r="B171" s="175"/>
      <c r="C171" s="109" t="s">
        <v>337</v>
      </c>
      <c r="D171" s="11">
        <v>4264912</v>
      </c>
      <c r="E171" s="32" t="s">
        <v>338</v>
      </c>
      <c r="F171" s="35">
        <f t="shared" si="14"/>
        <v>100000</v>
      </c>
      <c r="G171" s="75"/>
      <c r="H171" s="75"/>
      <c r="I171" s="75">
        <v>100000</v>
      </c>
      <c r="J171" s="75"/>
      <c r="K171" s="75"/>
      <c r="L171" s="35">
        <f t="shared" si="15"/>
        <v>100000</v>
      </c>
      <c r="M171" s="75"/>
      <c r="N171" s="75"/>
      <c r="O171" s="75">
        <v>100000</v>
      </c>
      <c r="P171" s="75"/>
      <c r="Q171" s="75"/>
      <c r="R171" s="3">
        <v>65900</v>
      </c>
      <c r="T171" s="202">
        <f t="shared" si="16"/>
        <v>0.659</v>
      </c>
      <c r="U171" s="202" t="e">
        <f t="shared" si="17"/>
        <v>#DIV/0!</v>
      </c>
    </row>
    <row r="172" spans="1:21" s="3" customFormat="1" ht="26.25" customHeight="1">
      <c r="A172" s="107"/>
      <c r="B172" s="175"/>
      <c r="C172" s="108" t="s">
        <v>116</v>
      </c>
      <c r="D172" s="36">
        <v>426500</v>
      </c>
      <c r="E172" s="32" t="s">
        <v>117</v>
      </c>
      <c r="F172" s="38">
        <f>+G172+H172+I172+K172</f>
        <v>235000</v>
      </c>
      <c r="G172" s="146"/>
      <c r="H172" s="146"/>
      <c r="I172" s="146">
        <f>+I173</f>
        <v>235000</v>
      </c>
      <c r="J172" s="146"/>
      <c r="K172" s="146">
        <f>+K173</f>
        <v>0</v>
      </c>
      <c r="L172" s="38">
        <f>+M172+N172+O172+Q172</f>
        <v>235000</v>
      </c>
      <c r="M172" s="146"/>
      <c r="N172" s="146"/>
      <c r="O172" s="146">
        <f>+O173</f>
        <v>235000</v>
      </c>
      <c r="P172" s="146"/>
      <c r="Q172" s="146">
        <f>+Q173</f>
        <v>0</v>
      </c>
      <c r="T172" s="202">
        <f t="shared" si="16"/>
        <v>0</v>
      </c>
      <c r="U172" s="202" t="e">
        <f t="shared" si="17"/>
        <v>#DIV/0!</v>
      </c>
    </row>
    <row r="173" spans="1:21" s="3" customFormat="1" ht="29.25" customHeight="1" hidden="1">
      <c r="A173" s="107"/>
      <c r="B173" s="175"/>
      <c r="C173" s="108" t="s">
        <v>339</v>
      </c>
      <c r="D173" s="11">
        <v>426591</v>
      </c>
      <c r="E173" s="32" t="s">
        <v>340</v>
      </c>
      <c r="F173" s="35">
        <f>+G173+H173+I173+K173</f>
        <v>235000</v>
      </c>
      <c r="G173" s="75"/>
      <c r="H173" s="75"/>
      <c r="I173" s="75">
        <v>235000</v>
      </c>
      <c r="J173" s="75"/>
      <c r="K173" s="75"/>
      <c r="L173" s="35">
        <f>+M173+N173+O173+Q173</f>
        <v>235000</v>
      </c>
      <c r="M173" s="75"/>
      <c r="N173" s="75"/>
      <c r="O173" s="75">
        <v>235000</v>
      </c>
      <c r="P173" s="75"/>
      <c r="Q173" s="75"/>
      <c r="R173" s="3">
        <v>106434</v>
      </c>
      <c r="T173" s="202">
        <f t="shared" si="16"/>
        <v>0.4529106382978723</v>
      </c>
      <c r="U173" s="202" t="e">
        <f t="shared" si="17"/>
        <v>#DIV/0!</v>
      </c>
    </row>
    <row r="174" spans="1:21" s="3" customFormat="1" ht="26.25" customHeight="1">
      <c r="A174" s="107"/>
      <c r="B174" s="116"/>
      <c r="C174" s="261" t="s">
        <v>118</v>
      </c>
      <c r="D174" s="247">
        <v>426700</v>
      </c>
      <c r="E174" s="251" t="s">
        <v>341</v>
      </c>
      <c r="F174" s="249">
        <f>SUM(G174:K174)</f>
        <v>67476943</v>
      </c>
      <c r="G174" s="252"/>
      <c r="H174" s="252"/>
      <c r="I174" s="252">
        <f>+I175+I179+I180+I183</f>
        <v>64976943</v>
      </c>
      <c r="J174" s="252"/>
      <c r="K174" s="252">
        <f>+K175+K179+K180+K183</f>
        <v>2500000</v>
      </c>
      <c r="L174" s="249">
        <f>SUM(M174:Q174)</f>
        <v>63326355</v>
      </c>
      <c r="M174" s="252"/>
      <c r="N174" s="252"/>
      <c r="O174" s="252">
        <f>+O175+O179+O180+O183</f>
        <v>62180943</v>
      </c>
      <c r="P174" s="252"/>
      <c r="Q174" s="252">
        <f>+Q175+Q179+Q180+Q183</f>
        <v>1145412</v>
      </c>
      <c r="T174" s="202">
        <f t="shared" si="16"/>
        <v>0</v>
      </c>
      <c r="U174" s="202">
        <f t="shared" si="17"/>
        <v>0</v>
      </c>
    </row>
    <row r="175" spans="1:21" s="3" customFormat="1" ht="30" customHeight="1" hidden="1">
      <c r="A175" s="107"/>
      <c r="B175" s="73"/>
      <c r="C175" s="108" t="s">
        <v>342</v>
      </c>
      <c r="D175" s="36">
        <v>426710</v>
      </c>
      <c r="E175" s="32" t="s">
        <v>343</v>
      </c>
      <c r="F175" s="38">
        <f>+G175+H175+I175+K175</f>
        <v>7840000</v>
      </c>
      <c r="G175" s="146"/>
      <c r="H175" s="146"/>
      <c r="I175" s="146">
        <f>+I176+I178+I177</f>
        <v>7840000</v>
      </c>
      <c r="J175" s="146"/>
      <c r="K175" s="146">
        <f>+K176+K178+K177</f>
        <v>0</v>
      </c>
      <c r="L175" s="38">
        <f>+M175+N175+O175+Q175</f>
        <v>7750000</v>
      </c>
      <c r="M175" s="146"/>
      <c r="N175" s="146"/>
      <c r="O175" s="146">
        <f>+O176+O178+O177</f>
        <v>7740000</v>
      </c>
      <c r="P175" s="146"/>
      <c r="Q175" s="146">
        <f>+Q176+Q178+Q177</f>
        <v>10000</v>
      </c>
      <c r="T175" s="202">
        <f t="shared" si="16"/>
        <v>0</v>
      </c>
      <c r="U175" s="202">
        <f t="shared" si="17"/>
        <v>0</v>
      </c>
    </row>
    <row r="176" spans="1:21" s="3" customFormat="1" ht="19.5" customHeight="1" hidden="1">
      <c r="A176" s="98"/>
      <c r="B176" s="174"/>
      <c r="C176" s="110" t="s">
        <v>344</v>
      </c>
      <c r="D176" s="205">
        <v>426711</v>
      </c>
      <c r="E176" s="206" t="s">
        <v>345</v>
      </c>
      <c r="F176" s="207">
        <f>+G176+H176+I176+K176</f>
        <v>7250000</v>
      </c>
      <c r="G176" s="208"/>
      <c r="H176" s="208"/>
      <c r="I176" s="208">
        <v>7250000</v>
      </c>
      <c r="J176" s="208"/>
      <c r="K176" s="208">
        <v>0</v>
      </c>
      <c r="L176" s="207">
        <f>+M176+N176+O176+Q176</f>
        <v>7160000</v>
      </c>
      <c r="M176" s="208"/>
      <c r="N176" s="208"/>
      <c r="O176" s="208">
        <f>7250000-100000</f>
        <v>7150000</v>
      </c>
      <c r="P176" s="208"/>
      <c r="Q176" s="246">
        <v>10000</v>
      </c>
      <c r="R176" s="3">
        <v>3486601.14</v>
      </c>
      <c r="T176" s="202">
        <f t="shared" si="16"/>
        <v>0.48763652307692307</v>
      </c>
      <c r="U176" s="202">
        <f t="shared" si="17"/>
        <v>0</v>
      </c>
    </row>
    <row r="177" spans="1:21" s="3" customFormat="1" ht="19.5" customHeight="1" hidden="1">
      <c r="A177" s="98"/>
      <c r="B177" s="117"/>
      <c r="C177" s="110" t="s">
        <v>346</v>
      </c>
      <c r="D177" s="11">
        <v>42671103</v>
      </c>
      <c r="E177" s="32" t="s">
        <v>347</v>
      </c>
      <c r="F177" s="35">
        <f>+G177+H177+I177+K177</f>
        <v>500000</v>
      </c>
      <c r="G177" s="75"/>
      <c r="H177" s="75"/>
      <c r="I177" s="75">
        <v>500000</v>
      </c>
      <c r="J177" s="75"/>
      <c r="K177" s="75"/>
      <c r="L177" s="35">
        <f>+M177+N177+O177+Q177</f>
        <v>500000</v>
      </c>
      <c r="M177" s="75"/>
      <c r="N177" s="75"/>
      <c r="O177" s="75">
        <v>500000</v>
      </c>
      <c r="P177" s="75"/>
      <c r="Q177" s="75"/>
      <c r="R177" s="3">
        <v>200094.86</v>
      </c>
      <c r="T177" s="202">
        <f t="shared" si="16"/>
        <v>0.40018971999999997</v>
      </c>
      <c r="U177" s="202" t="e">
        <f t="shared" si="17"/>
        <v>#DIV/0!</v>
      </c>
    </row>
    <row r="178" spans="1:21" s="3" customFormat="1" ht="19.5" customHeight="1" hidden="1">
      <c r="A178" s="98"/>
      <c r="B178" s="117"/>
      <c r="C178" s="110" t="s">
        <v>348</v>
      </c>
      <c r="D178" s="11">
        <v>42671105</v>
      </c>
      <c r="E178" s="32" t="s">
        <v>349</v>
      </c>
      <c r="F178" s="35">
        <f>+G178+H178+I178</f>
        <v>90000</v>
      </c>
      <c r="G178" s="75"/>
      <c r="H178" s="75"/>
      <c r="I178" s="75">
        <v>90000</v>
      </c>
      <c r="J178" s="75"/>
      <c r="K178" s="75"/>
      <c r="L178" s="35">
        <f>+M178+N178+O178</f>
        <v>90000</v>
      </c>
      <c r="M178" s="75"/>
      <c r="N178" s="75"/>
      <c r="O178" s="75">
        <v>90000</v>
      </c>
      <c r="P178" s="75"/>
      <c r="Q178" s="75"/>
      <c r="R178" s="3">
        <v>36949.19</v>
      </c>
      <c r="T178" s="202">
        <f t="shared" si="16"/>
        <v>0.4105465555555556</v>
      </c>
      <c r="U178" s="202" t="e">
        <f t="shared" si="17"/>
        <v>#DIV/0!</v>
      </c>
    </row>
    <row r="179" spans="1:21" s="3" customFormat="1" ht="25.5" customHeight="1" hidden="1">
      <c r="A179" s="107"/>
      <c r="B179" s="99"/>
      <c r="C179" s="108" t="s">
        <v>350</v>
      </c>
      <c r="D179" s="36">
        <v>426721</v>
      </c>
      <c r="E179" s="151" t="s">
        <v>351</v>
      </c>
      <c r="F179" s="38">
        <f>+G179+H179+I179+K179</f>
        <v>21490000</v>
      </c>
      <c r="G179" s="75"/>
      <c r="H179" s="75"/>
      <c r="I179" s="146">
        <f>20004747+535253+250000+200000</f>
        <v>20990000</v>
      </c>
      <c r="J179" s="146"/>
      <c r="K179" s="146">
        <v>500000</v>
      </c>
      <c r="L179" s="38">
        <f>+M179+N179+O179+Q179</f>
        <v>21490000</v>
      </c>
      <c r="M179" s="75"/>
      <c r="N179" s="75"/>
      <c r="O179" s="146">
        <f>20004747+535253+250000+200000</f>
        <v>20990000</v>
      </c>
      <c r="P179" s="146"/>
      <c r="Q179" s="146">
        <v>500000</v>
      </c>
      <c r="R179" s="3">
        <v>11650090.45</v>
      </c>
      <c r="S179" s="3">
        <v>115200</v>
      </c>
      <c r="T179" s="202">
        <f t="shared" si="16"/>
        <v>0.5550305121486422</v>
      </c>
      <c r="U179" s="202">
        <f t="shared" si="17"/>
        <v>0.2304</v>
      </c>
    </row>
    <row r="180" spans="1:21" s="3" customFormat="1" ht="19.5" customHeight="1" hidden="1">
      <c r="A180" s="107"/>
      <c r="B180" s="5"/>
      <c r="C180" s="108" t="s">
        <v>352</v>
      </c>
      <c r="D180" s="36">
        <v>426750</v>
      </c>
      <c r="E180" s="151" t="s">
        <v>353</v>
      </c>
      <c r="F180" s="38">
        <f>SUM(G180:K180)</f>
        <v>32630943</v>
      </c>
      <c r="G180" s="75"/>
      <c r="H180" s="146"/>
      <c r="I180" s="146">
        <f>SUM(I181:I182)</f>
        <v>30630943</v>
      </c>
      <c r="J180" s="146"/>
      <c r="K180" s="146">
        <f>SUM(K181:K182)</f>
        <v>2000000</v>
      </c>
      <c r="L180" s="38">
        <f>SUM(M180:Q180)</f>
        <v>31166355</v>
      </c>
      <c r="M180" s="75"/>
      <c r="N180" s="146"/>
      <c r="O180" s="146">
        <f>SUM(O181:O182)</f>
        <v>30580943</v>
      </c>
      <c r="P180" s="146"/>
      <c r="Q180" s="146">
        <f>SUM(Q181:Q182)</f>
        <v>585412</v>
      </c>
      <c r="T180" s="202">
        <f t="shared" si="16"/>
        <v>0</v>
      </c>
      <c r="U180" s="202">
        <f t="shared" si="17"/>
        <v>0</v>
      </c>
    </row>
    <row r="181" spans="1:21" s="3" customFormat="1" ht="19.5" customHeight="1" hidden="1">
      <c r="A181" s="107"/>
      <c r="B181" s="174"/>
      <c r="C181" s="109" t="s">
        <v>354</v>
      </c>
      <c r="D181" s="205">
        <v>426751</v>
      </c>
      <c r="E181" s="206" t="s">
        <v>355</v>
      </c>
      <c r="F181" s="207">
        <f>+G181+H181+I181+K181</f>
        <v>19906000</v>
      </c>
      <c r="G181" s="208"/>
      <c r="H181" s="208"/>
      <c r="I181" s="208">
        <f>18056000-150000</f>
        <v>17906000</v>
      </c>
      <c r="J181" s="208"/>
      <c r="K181" s="208">
        <v>2000000</v>
      </c>
      <c r="L181" s="207">
        <f>+M181+N181+O181+Q181</f>
        <v>18441412</v>
      </c>
      <c r="M181" s="208"/>
      <c r="N181" s="208"/>
      <c r="O181" s="208">
        <f>18056000-150000-50000</f>
        <v>17856000</v>
      </c>
      <c r="P181" s="208"/>
      <c r="Q181" s="208">
        <f>2000000-1414588</f>
        <v>585412</v>
      </c>
      <c r="R181" s="3">
        <v>12165230.11</v>
      </c>
      <c r="S181" s="3">
        <v>260688.4</v>
      </c>
      <c r="T181" s="202">
        <f t="shared" si="16"/>
        <v>0.6812964891353046</v>
      </c>
      <c r="U181" s="202">
        <f t="shared" si="17"/>
        <v>0.4453075782525811</v>
      </c>
    </row>
    <row r="182" spans="1:21" s="3" customFormat="1" ht="19.5" customHeight="1" hidden="1">
      <c r="A182" s="107"/>
      <c r="B182" s="132"/>
      <c r="C182" s="109" t="s">
        <v>356</v>
      </c>
      <c r="D182" s="176">
        <v>42675108</v>
      </c>
      <c r="E182" s="32" t="s">
        <v>357</v>
      </c>
      <c r="F182" s="35">
        <f>+G182+H182+I182+K182</f>
        <v>12724943</v>
      </c>
      <c r="G182" s="75"/>
      <c r="H182" s="75"/>
      <c r="I182" s="75">
        <v>12724943</v>
      </c>
      <c r="J182" s="75"/>
      <c r="K182" s="75"/>
      <c r="L182" s="35">
        <f>+M182+N182+O182+Q182</f>
        <v>12724943</v>
      </c>
      <c r="M182" s="75"/>
      <c r="N182" s="75"/>
      <c r="O182" s="75">
        <v>12724943</v>
      </c>
      <c r="P182" s="75"/>
      <c r="Q182" s="75"/>
      <c r="R182" s="3">
        <v>7648841.14</v>
      </c>
      <c r="T182" s="202">
        <f t="shared" si="16"/>
        <v>0.6010904048843283</v>
      </c>
      <c r="U182" s="202" t="e">
        <f t="shared" si="17"/>
        <v>#DIV/0!</v>
      </c>
    </row>
    <row r="183" spans="1:21" s="3" customFormat="1" ht="19.5" customHeight="1" hidden="1">
      <c r="A183" s="161"/>
      <c r="B183" s="116"/>
      <c r="C183" s="108" t="s">
        <v>358</v>
      </c>
      <c r="D183" s="36">
        <v>426790</v>
      </c>
      <c r="E183" s="151" t="s">
        <v>359</v>
      </c>
      <c r="F183" s="38">
        <f>+G183+H183+I183+K183</f>
        <v>5516000</v>
      </c>
      <c r="G183" s="146"/>
      <c r="H183" s="146"/>
      <c r="I183" s="146">
        <f>I184+I185</f>
        <v>5516000</v>
      </c>
      <c r="J183" s="146"/>
      <c r="K183" s="146">
        <f>K184+K185</f>
        <v>0</v>
      </c>
      <c r="L183" s="38">
        <f>+M183+N183+O183+Q183</f>
        <v>2920000</v>
      </c>
      <c r="M183" s="146"/>
      <c r="N183" s="146"/>
      <c r="O183" s="146">
        <f>O184+O185</f>
        <v>2870000</v>
      </c>
      <c r="P183" s="146"/>
      <c r="Q183" s="146">
        <f>Q184+Q185</f>
        <v>50000</v>
      </c>
      <c r="T183" s="202">
        <f t="shared" si="16"/>
        <v>0</v>
      </c>
      <c r="U183" s="202">
        <f t="shared" si="17"/>
        <v>0</v>
      </c>
    </row>
    <row r="184" spans="1:21" s="3" customFormat="1" ht="19.5" customHeight="1" hidden="1">
      <c r="A184" s="107"/>
      <c r="B184" s="111"/>
      <c r="C184" s="109" t="s">
        <v>360</v>
      </c>
      <c r="D184" s="205">
        <v>42679128</v>
      </c>
      <c r="E184" s="206" t="s">
        <v>361</v>
      </c>
      <c r="F184" s="207">
        <f>+G184+H184+I184+K184</f>
        <v>4716000</v>
      </c>
      <c r="G184" s="208"/>
      <c r="H184" s="208"/>
      <c r="I184" s="208">
        <v>4716000</v>
      </c>
      <c r="J184" s="208"/>
      <c r="K184" s="208"/>
      <c r="L184" s="207">
        <f>+M184+N184+O184+Q184</f>
        <v>2120000</v>
      </c>
      <c r="M184" s="208"/>
      <c r="N184" s="208"/>
      <c r="O184" s="208">
        <f>4716000-2646000</f>
        <v>2070000</v>
      </c>
      <c r="P184" s="208"/>
      <c r="Q184" s="246">
        <v>50000</v>
      </c>
      <c r="R184" s="3">
        <v>1365931.01</v>
      </c>
      <c r="T184" s="202">
        <f t="shared" si="16"/>
        <v>0.6598700531400966</v>
      </c>
      <c r="U184" s="202">
        <f t="shared" si="17"/>
        <v>0</v>
      </c>
    </row>
    <row r="185" spans="1:21" s="3" customFormat="1" ht="19.5" customHeight="1" hidden="1">
      <c r="A185" s="107"/>
      <c r="B185" s="111"/>
      <c r="C185" s="109" t="s">
        <v>362</v>
      </c>
      <c r="D185" s="11">
        <v>42679101</v>
      </c>
      <c r="E185" s="32" t="s">
        <v>363</v>
      </c>
      <c r="F185" s="35">
        <f>+G185+H185+I185+K185</f>
        <v>800000</v>
      </c>
      <c r="G185" s="75"/>
      <c r="H185" s="75"/>
      <c r="I185" s="75">
        <v>800000</v>
      </c>
      <c r="J185" s="75"/>
      <c r="K185" s="75"/>
      <c r="L185" s="35">
        <f>+M185+N185+O185+Q185</f>
        <v>800000</v>
      </c>
      <c r="M185" s="75"/>
      <c r="N185" s="75"/>
      <c r="O185" s="75">
        <v>800000</v>
      </c>
      <c r="P185" s="75"/>
      <c r="Q185" s="75"/>
      <c r="R185" s="3">
        <v>401059.8</v>
      </c>
      <c r="T185" s="202">
        <f t="shared" si="16"/>
        <v>0.50132475</v>
      </c>
      <c r="U185" s="202" t="e">
        <f t="shared" si="17"/>
        <v>#DIV/0!</v>
      </c>
    </row>
    <row r="186" spans="1:21" s="3" customFormat="1" ht="24.75" customHeight="1">
      <c r="A186" s="107"/>
      <c r="B186" s="73"/>
      <c r="C186" s="261" t="s">
        <v>119</v>
      </c>
      <c r="D186" s="247">
        <v>426800</v>
      </c>
      <c r="E186" s="251" t="s">
        <v>364</v>
      </c>
      <c r="F186" s="249">
        <f aca="true" t="shared" si="18" ref="F186:F203">SUM(G186:K186)</f>
        <v>1620000</v>
      </c>
      <c r="G186" s="252"/>
      <c r="H186" s="252"/>
      <c r="I186" s="252">
        <f>+I187+I191+I188+I189</f>
        <v>1620000</v>
      </c>
      <c r="J186" s="252"/>
      <c r="K186" s="252">
        <f>+K191+K188+K187</f>
        <v>0</v>
      </c>
      <c r="L186" s="249">
        <f aca="true" t="shared" si="19" ref="L186:L203">SUM(M186:Q186)</f>
        <v>1649751</v>
      </c>
      <c r="M186" s="252"/>
      <c r="N186" s="252"/>
      <c r="O186" s="252">
        <f>+O187+O191+O188+O189+O190</f>
        <v>1649751</v>
      </c>
      <c r="P186" s="252"/>
      <c r="Q186" s="252">
        <f>+Q191+Q188+Q187</f>
        <v>0</v>
      </c>
      <c r="T186" s="202">
        <f t="shared" si="16"/>
        <v>0</v>
      </c>
      <c r="U186" s="202" t="e">
        <f t="shared" si="17"/>
        <v>#DIV/0!</v>
      </c>
    </row>
    <row r="187" spans="1:21" s="3" customFormat="1" ht="21" customHeight="1" hidden="1">
      <c r="A187" s="98"/>
      <c r="B187" s="174"/>
      <c r="C187" s="110" t="s">
        <v>365</v>
      </c>
      <c r="D187" s="11">
        <v>426811</v>
      </c>
      <c r="E187" s="32" t="s">
        <v>366</v>
      </c>
      <c r="F187" s="35">
        <f t="shared" si="18"/>
        <v>1500000</v>
      </c>
      <c r="G187" s="75"/>
      <c r="H187" s="75"/>
      <c r="I187" s="75">
        <v>1500000</v>
      </c>
      <c r="J187" s="75"/>
      <c r="K187" s="75"/>
      <c r="L187" s="35">
        <f t="shared" si="19"/>
        <v>1500000</v>
      </c>
      <c r="M187" s="75"/>
      <c r="N187" s="75"/>
      <c r="O187" s="75">
        <v>1500000</v>
      </c>
      <c r="P187" s="75"/>
      <c r="Q187" s="75"/>
      <c r="R187" s="3">
        <v>911796.6</v>
      </c>
      <c r="T187" s="202">
        <f t="shared" si="16"/>
        <v>0.6078644</v>
      </c>
      <c r="U187" s="202" t="e">
        <f t="shared" si="17"/>
        <v>#DIV/0!</v>
      </c>
    </row>
    <row r="188" spans="1:21" s="3" customFormat="1" ht="21" customHeight="1" hidden="1">
      <c r="A188" s="98"/>
      <c r="B188" s="117"/>
      <c r="C188" s="110" t="s">
        <v>367</v>
      </c>
      <c r="D188" s="11">
        <v>426812</v>
      </c>
      <c r="E188" s="32" t="s">
        <v>368</v>
      </c>
      <c r="F188" s="35">
        <f t="shared" si="18"/>
        <v>80000</v>
      </c>
      <c r="G188" s="75"/>
      <c r="H188" s="75"/>
      <c r="I188" s="75">
        <v>80000</v>
      </c>
      <c r="J188" s="75"/>
      <c r="K188" s="75"/>
      <c r="L188" s="35">
        <f t="shared" si="19"/>
        <v>80000</v>
      </c>
      <c r="M188" s="75"/>
      <c r="N188" s="75"/>
      <c r="O188" s="75">
        <v>80000</v>
      </c>
      <c r="P188" s="75"/>
      <c r="Q188" s="75"/>
      <c r="R188" s="3">
        <v>57738.82</v>
      </c>
      <c r="T188" s="202">
        <f t="shared" si="16"/>
        <v>0.72173525</v>
      </c>
      <c r="U188" s="202" t="e">
        <f t="shared" si="17"/>
        <v>#DIV/0!</v>
      </c>
    </row>
    <row r="189" spans="1:21" s="3" customFormat="1" ht="21" customHeight="1" hidden="1">
      <c r="A189" s="98"/>
      <c r="B189" s="117"/>
      <c r="C189" s="110" t="s">
        <v>369</v>
      </c>
      <c r="D189" s="11">
        <v>426819</v>
      </c>
      <c r="E189" s="32" t="s">
        <v>370</v>
      </c>
      <c r="F189" s="35">
        <f t="shared" si="18"/>
        <v>20000</v>
      </c>
      <c r="G189" s="75"/>
      <c r="H189" s="75"/>
      <c r="I189" s="75">
        <v>20000</v>
      </c>
      <c r="J189" s="75"/>
      <c r="K189" s="75"/>
      <c r="L189" s="35">
        <f t="shared" si="19"/>
        <v>20000</v>
      </c>
      <c r="M189" s="75"/>
      <c r="N189" s="75"/>
      <c r="O189" s="75">
        <v>20000</v>
      </c>
      <c r="P189" s="75"/>
      <c r="Q189" s="75"/>
      <c r="R189" s="3">
        <v>2400</v>
      </c>
      <c r="T189" s="202">
        <f t="shared" si="16"/>
        <v>0.12</v>
      </c>
      <c r="U189" s="202" t="e">
        <f t="shared" si="17"/>
        <v>#DIV/0!</v>
      </c>
    </row>
    <row r="190" spans="1:21" s="3" customFormat="1" ht="21" customHeight="1" hidden="1">
      <c r="A190" s="98"/>
      <c r="B190" s="117"/>
      <c r="C190" s="213"/>
      <c r="D190" s="205">
        <v>426829</v>
      </c>
      <c r="E190" s="206" t="s">
        <v>460</v>
      </c>
      <c r="F190" s="207"/>
      <c r="G190" s="208"/>
      <c r="H190" s="208"/>
      <c r="I190" s="208"/>
      <c r="J190" s="208"/>
      <c r="K190" s="208"/>
      <c r="L190" s="207">
        <f t="shared" si="19"/>
        <v>29751</v>
      </c>
      <c r="M190" s="208"/>
      <c r="N190" s="208"/>
      <c r="O190" s="208">
        <v>29751</v>
      </c>
      <c r="P190" s="208"/>
      <c r="Q190" s="208"/>
      <c r="R190" s="3">
        <v>29751</v>
      </c>
      <c r="T190" s="202">
        <f t="shared" si="16"/>
        <v>1</v>
      </c>
      <c r="U190" s="202" t="e">
        <f t="shared" si="17"/>
        <v>#DIV/0!</v>
      </c>
    </row>
    <row r="191" spans="1:21" s="3" customFormat="1" ht="21" customHeight="1" hidden="1">
      <c r="A191" s="98"/>
      <c r="B191" s="117"/>
      <c r="C191" s="110" t="s">
        <v>371</v>
      </c>
      <c r="D191" s="11">
        <v>4268292</v>
      </c>
      <c r="E191" s="32" t="s">
        <v>372</v>
      </c>
      <c r="F191" s="35">
        <f t="shared" si="18"/>
        <v>20000</v>
      </c>
      <c r="G191" s="75"/>
      <c r="H191" s="75"/>
      <c r="I191" s="75">
        <v>20000</v>
      </c>
      <c r="J191" s="75"/>
      <c r="K191" s="75"/>
      <c r="L191" s="35">
        <f t="shared" si="19"/>
        <v>20000</v>
      </c>
      <c r="M191" s="75"/>
      <c r="N191" s="75"/>
      <c r="O191" s="75">
        <v>20000</v>
      </c>
      <c r="P191" s="75"/>
      <c r="Q191" s="75"/>
      <c r="R191" s="3">
        <v>6000</v>
      </c>
      <c r="T191" s="202">
        <f t="shared" si="16"/>
        <v>0.3</v>
      </c>
      <c r="U191" s="202" t="e">
        <f t="shared" si="17"/>
        <v>#DIV/0!</v>
      </c>
    </row>
    <row r="192" spans="1:21" s="3" customFormat="1" ht="21" customHeight="1" thickBot="1">
      <c r="A192" s="107"/>
      <c r="B192" s="116"/>
      <c r="C192" s="108" t="s">
        <v>120</v>
      </c>
      <c r="D192" s="36">
        <v>426900</v>
      </c>
      <c r="E192" s="151" t="s">
        <v>121</v>
      </c>
      <c r="F192" s="38">
        <f t="shared" si="18"/>
        <v>680000</v>
      </c>
      <c r="G192" s="146"/>
      <c r="H192" s="146"/>
      <c r="I192" s="146">
        <f>SUM(I193:I203)</f>
        <v>680000</v>
      </c>
      <c r="J192" s="146"/>
      <c r="K192" s="146">
        <f>+K195+K200</f>
        <v>0</v>
      </c>
      <c r="L192" s="38">
        <f t="shared" si="19"/>
        <v>680000</v>
      </c>
      <c r="M192" s="146"/>
      <c r="N192" s="146"/>
      <c r="O192" s="146">
        <f>SUM(O193:O203)</f>
        <v>680000</v>
      </c>
      <c r="P192" s="146"/>
      <c r="Q192" s="146">
        <f>+Q195+Q200</f>
        <v>0</v>
      </c>
      <c r="T192" s="202">
        <f t="shared" si="16"/>
        <v>0</v>
      </c>
      <c r="U192" s="202" t="e">
        <f t="shared" si="17"/>
        <v>#DIV/0!</v>
      </c>
    </row>
    <row r="193" spans="1:21" s="3" customFormat="1" ht="18.75" customHeight="1" hidden="1">
      <c r="A193" s="107"/>
      <c r="B193" s="105"/>
      <c r="C193" s="109" t="s">
        <v>373</v>
      </c>
      <c r="D193" s="11">
        <v>42691101</v>
      </c>
      <c r="E193" s="32" t="s">
        <v>374</v>
      </c>
      <c r="F193" s="35">
        <f t="shared" si="18"/>
        <v>200000</v>
      </c>
      <c r="G193" s="75"/>
      <c r="H193" s="75"/>
      <c r="I193" s="75">
        <v>200000</v>
      </c>
      <c r="J193" s="75"/>
      <c r="K193" s="75"/>
      <c r="L193" s="35">
        <f t="shared" si="19"/>
        <v>200000</v>
      </c>
      <c r="M193" s="75"/>
      <c r="N193" s="75"/>
      <c r="O193" s="75">
        <v>200000</v>
      </c>
      <c r="P193" s="75"/>
      <c r="Q193" s="75"/>
      <c r="R193" s="210">
        <v>7622.74</v>
      </c>
      <c r="T193" s="202">
        <f t="shared" si="16"/>
        <v>0.0381137</v>
      </c>
      <c r="U193" s="202" t="e">
        <f t="shared" si="17"/>
        <v>#DIV/0!</v>
      </c>
    </row>
    <row r="194" spans="1:21" s="3" customFormat="1" ht="18.75" customHeight="1" hidden="1">
      <c r="A194" s="107"/>
      <c r="B194" s="105"/>
      <c r="C194" s="109" t="s">
        <v>375</v>
      </c>
      <c r="D194" s="11">
        <v>42691102</v>
      </c>
      <c r="E194" s="32" t="s">
        <v>376</v>
      </c>
      <c r="F194" s="35">
        <f t="shared" si="18"/>
        <v>100000</v>
      </c>
      <c r="G194" s="75"/>
      <c r="H194" s="75"/>
      <c r="I194" s="75">
        <v>100000</v>
      </c>
      <c r="J194" s="75"/>
      <c r="K194" s="75"/>
      <c r="L194" s="35">
        <f t="shared" si="19"/>
        <v>100000</v>
      </c>
      <c r="M194" s="75"/>
      <c r="N194" s="75"/>
      <c r="O194" s="75">
        <v>100000</v>
      </c>
      <c r="P194" s="75"/>
      <c r="Q194" s="75"/>
      <c r="R194" s="3">
        <v>37590.32</v>
      </c>
      <c r="T194" s="202">
        <f t="shared" si="16"/>
        <v>0.3759032</v>
      </c>
      <c r="U194" s="202" t="e">
        <f t="shared" si="17"/>
        <v>#DIV/0!</v>
      </c>
    </row>
    <row r="195" spans="1:21" s="3" customFormat="1" ht="18.75" customHeight="1" hidden="1">
      <c r="A195" s="107"/>
      <c r="B195" s="105"/>
      <c r="C195" s="109" t="s">
        <v>377</v>
      </c>
      <c r="D195" s="11">
        <v>42691103</v>
      </c>
      <c r="E195" s="32" t="s">
        <v>378</v>
      </c>
      <c r="F195" s="35">
        <f t="shared" si="18"/>
        <v>70000</v>
      </c>
      <c r="G195" s="75"/>
      <c r="H195" s="75"/>
      <c r="I195" s="75">
        <v>70000</v>
      </c>
      <c r="J195" s="75"/>
      <c r="K195" s="75"/>
      <c r="L195" s="35">
        <f t="shared" si="19"/>
        <v>70000</v>
      </c>
      <c r="M195" s="75"/>
      <c r="N195" s="75"/>
      <c r="O195" s="75">
        <v>70000</v>
      </c>
      <c r="P195" s="75"/>
      <c r="Q195" s="75"/>
      <c r="R195" s="3">
        <v>36347.2</v>
      </c>
      <c r="T195" s="202">
        <f t="shared" si="16"/>
        <v>0.5192457142857142</v>
      </c>
      <c r="U195" s="202" t="e">
        <f t="shared" si="17"/>
        <v>#DIV/0!</v>
      </c>
    </row>
    <row r="196" spans="1:21" s="3" customFormat="1" ht="18.75" customHeight="1" hidden="1">
      <c r="A196" s="107"/>
      <c r="B196" s="105"/>
      <c r="C196" s="109" t="s">
        <v>379</v>
      </c>
      <c r="D196" s="11">
        <v>42691104</v>
      </c>
      <c r="E196" s="32" t="s">
        <v>380</v>
      </c>
      <c r="F196" s="35">
        <f t="shared" si="18"/>
        <v>30000</v>
      </c>
      <c r="G196" s="75"/>
      <c r="H196" s="75"/>
      <c r="I196" s="75">
        <v>30000</v>
      </c>
      <c r="J196" s="75"/>
      <c r="K196" s="75"/>
      <c r="L196" s="35">
        <f t="shared" si="19"/>
        <v>30000</v>
      </c>
      <c r="M196" s="75"/>
      <c r="N196" s="75"/>
      <c r="O196" s="75">
        <v>30000</v>
      </c>
      <c r="P196" s="75"/>
      <c r="Q196" s="75"/>
      <c r="R196" s="3">
        <v>26546.8</v>
      </c>
      <c r="T196" s="203">
        <f t="shared" si="16"/>
        <v>0.8848933333333333</v>
      </c>
      <c r="U196" s="202" t="e">
        <f t="shared" si="17"/>
        <v>#DIV/0!</v>
      </c>
    </row>
    <row r="197" spans="1:21" s="3" customFormat="1" ht="18.75" customHeight="1" hidden="1">
      <c r="A197" s="107"/>
      <c r="B197" s="105"/>
      <c r="C197" s="109" t="s">
        <v>381</v>
      </c>
      <c r="D197" s="11">
        <v>42691105</v>
      </c>
      <c r="E197" s="32" t="s">
        <v>382</v>
      </c>
      <c r="F197" s="35">
        <f t="shared" si="18"/>
        <v>50000</v>
      </c>
      <c r="G197" s="75"/>
      <c r="H197" s="75"/>
      <c r="I197" s="75">
        <v>50000</v>
      </c>
      <c r="J197" s="75"/>
      <c r="K197" s="75"/>
      <c r="L197" s="35">
        <f t="shared" si="19"/>
        <v>50000</v>
      </c>
      <c r="M197" s="75"/>
      <c r="N197" s="75"/>
      <c r="O197" s="75">
        <v>50000</v>
      </c>
      <c r="P197" s="75"/>
      <c r="Q197" s="75"/>
      <c r="T197" s="202">
        <f t="shared" si="16"/>
        <v>0</v>
      </c>
      <c r="U197" s="202" t="e">
        <f t="shared" si="17"/>
        <v>#DIV/0!</v>
      </c>
    </row>
    <row r="198" spans="1:21" s="3" customFormat="1" ht="18.75" customHeight="1" hidden="1">
      <c r="A198" s="107"/>
      <c r="B198" s="105"/>
      <c r="C198" s="109" t="s">
        <v>383</v>
      </c>
      <c r="D198" s="11">
        <v>42691106</v>
      </c>
      <c r="E198" s="32" t="s">
        <v>384</v>
      </c>
      <c r="F198" s="35">
        <f t="shared" si="18"/>
        <v>50000</v>
      </c>
      <c r="G198" s="75"/>
      <c r="H198" s="75"/>
      <c r="I198" s="75">
        <v>50000</v>
      </c>
      <c r="J198" s="75"/>
      <c r="K198" s="75"/>
      <c r="L198" s="35">
        <f t="shared" si="19"/>
        <v>50000</v>
      </c>
      <c r="M198" s="75"/>
      <c r="N198" s="75"/>
      <c r="O198" s="75">
        <v>50000</v>
      </c>
      <c r="P198" s="75"/>
      <c r="Q198" s="75"/>
      <c r="T198" s="202">
        <f t="shared" si="16"/>
        <v>0</v>
      </c>
      <c r="U198" s="202" t="e">
        <f t="shared" si="17"/>
        <v>#DIV/0!</v>
      </c>
    </row>
    <row r="199" spans="1:21" s="3" customFormat="1" ht="18.75" customHeight="1" hidden="1">
      <c r="A199" s="107"/>
      <c r="B199" s="105"/>
      <c r="C199" s="109" t="s">
        <v>385</v>
      </c>
      <c r="D199" s="11">
        <v>42691107</v>
      </c>
      <c r="E199" s="32" t="s">
        <v>386</v>
      </c>
      <c r="F199" s="35">
        <f t="shared" si="18"/>
        <v>20000</v>
      </c>
      <c r="G199" s="75"/>
      <c r="H199" s="75"/>
      <c r="I199" s="75">
        <v>20000</v>
      </c>
      <c r="J199" s="75"/>
      <c r="K199" s="75"/>
      <c r="L199" s="35">
        <f t="shared" si="19"/>
        <v>20000</v>
      </c>
      <c r="M199" s="75"/>
      <c r="N199" s="75"/>
      <c r="O199" s="75">
        <v>20000</v>
      </c>
      <c r="P199" s="75"/>
      <c r="Q199" s="75"/>
      <c r="R199" s="3">
        <v>14800</v>
      </c>
      <c r="T199" s="202">
        <f t="shared" si="16"/>
        <v>0.74</v>
      </c>
      <c r="U199" s="202" t="e">
        <f t="shared" si="17"/>
        <v>#DIV/0!</v>
      </c>
    </row>
    <row r="200" spans="1:21" s="3" customFormat="1" ht="18.75" customHeight="1" hidden="1">
      <c r="A200" s="107"/>
      <c r="B200" s="117"/>
      <c r="C200" s="109" t="s">
        <v>387</v>
      </c>
      <c r="D200" s="11">
        <v>426912</v>
      </c>
      <c r="E200" s="32" t="s">
        <v>388</v>
      </c>
      <c r="F200" s="35">
        <f t="shared" si="18"/>
        <v>50000</v>
      </c>
      <c r="G200" s="75"/>
      <c r="H200" s="75"/>
      <c r="I200" s="75">
        <v>50000</v>
      </c>
      <c r="J200" s="75"/>
      <c r="K200" s="75"/>
      <c r="L200" s="35">
        <f t="shared" si="19"/>
        <v>50000</v>
      </c>
      <c r="M200" s="75"/>
      <c r="N200" s="75"/>
      <c r="O200" s="75">
        <v>50000</v>
      </c>
      <c r="P200" s="75"/>
      <c r="Q200" s="75"/>
      <c r="R200" s="3">
        <v>23316</v>
      </c>
      <c r="T200" s="202">
        <f t="shared" si="16"/>
        <v>0.46632</v>
      </c>
      <c r="U200" s="202" t="e">
        <f t="shared" si="17"/>
        <v>#DIV/0!</v>
      </c>
    </row>
    <row r="201" spans="1:21" s="3" customFormat="1" ht="18.75" customHeight="1" hidden="1">
      <c r="A201" s="107"/>
      <c r="B201" s="117"/>
      <c r="C201" s="109" t="s">
        <v>389</v>
      </c>
      <c r="D201" s="11">
        <v>4269121</v>
      </c>
      <c r="E201" s="32" t="s">
        <v>390</v>
      </c>
      <c r="F201" s="35">
        <f t="shared" si="18"/>
        <v>20000</v>
      </c>
      <c r="G201" s="75"/>
      <c r="H201" s="75"/>
      <c r="I201" s="75">
        <v>20000</v>
      </c>
      <c r="J201" s="75"/>
      <c r="K201" s="75"/>
      <c r="L201" s="35">
        <f t="shared" si="19"/>
        <v>20000</v>
      </c>
      <c r="M201" s="75"/>
      <c r="N201" s="75"/>
      <c r="O201" s="75">
        <v>20000</v>
      </c>
      <c r="P201" s="75"/>
      <c r="Q201" s="75"/>
      <c r="R201" s="3">
        <v>10800</v>
      </c>
      <c r="T201" s="202">
        <f t="shared" si="16"/>
        <v>0.54</v>
      </c>
      <c r="U201" s="202" t="e">
        <f t="shared" si="17"/>
        <v>#DIV/0!</v>
      </c>
    </row>
    <row r="202" spans="1:21" s="3" customFormat="1" ht="18.75" customHeight="1" hidden="1">
      <c r="A202" s="107"/>
      <c r="B202" s="117"/>
      <c r="C202" s="109" t="s">
        <v>391</v>
      </c>
      <c r="D202" s="11">
        <v>4269122</v>
      </c>
      <c r="E202" s="32" t="s">
        <v>392</v>
      </c>
      <c r="F202" s="35">
        <f t="shared" si="18"/>
        <v>80000</v>
      </c>
      <c r="G202" s="75"/>
      <c r="H202" s="75"/>
      <c r="I202" s="75">
        <v>80000</v>
      </c>
      <c r="J202" s="75"/>
      <c r="K202" s="75"/>
      <c r="L202" s="35">
        <f t="shared" si="19"/>
        <v>80000</v>
      </c>
      <c r="M202" s="75"/>
      <c r="N202" s="75"/>
      <c r="O202" s="75">
        <v>80000</v>
      </c>
      <c r="P202" s="75"/>
      <c r="Q202" s="75"/>
      <c r="R202" s="3">
        <v>73080</v>
      </c>
      <c r="T202" s="203">
        <f t="shared" si="16"/>
        <v>0.9135</v>
      </c>
      <c r="U202" s="202" t="e">
        <f t="shared" si="17"/>
        <v>#DIV/0!</v>
      </c>
    </row>
    <row r="203" spans="1:21" s="3" customFormat="1" ht="18.75" customHeight="1" hidden="1" thickBot="1">
      <c r="A203" s="107"/>
      <c r="B203" s="117"/>
      <c r="C203" s="109" t="s">
        <v>393</v>
      </c>
      <c r="D203" s="13">
        <v>426914</v>
      </c>
      <c r="E203" s="150" t="s">
        <v>394</v>
      </c>
      <c r="F203" s="48">
        <f t="shared" si="18"/>
        <v>10000</v>
      </c>
      <c r="G203" s="177"/>
      <c r="H203" s="177"/>
      <c r="I203" s="177">
        <v>10000</v>
      </c>
      <c r="J203" s="177"/>
      <c r="K203" s="177"/>
      <c r="L203" s="48">
        <f t="shared" si="19"/>
        <v>10000</v>
      </c>
      <c r="M203" s="177"/>
      <c r="N203" s="177"/>
      <c r="O203" s="177">
        <v>10000</v>
      </c>
      <c r="P203" s="177"/>
      <c r="Q203" s="177"/>
      <c r="T203" s="202">
        <f t="shared" si="16"/>
        <v>0</v>
      </c>
      <c r="U203" s="202" t="e">
        <f t="shared" si="17"/>
        <v>#DIV/0!</v>
      </c>
    </row>
    <row r="204" spans="1:21" s="3" customFormat="1" ht="23.25" customHeight="1" thickBot="1" thickTop="1">
      <c r="A204" s="118" t="s">
        <v>31</v>
      </c>
      <c r="B204" s="60">
        <v>440000</v>
      </c>
      <c r="C204" s="119"/>
      <c r="D204" s="334" t="s">
        <v>122</v>
      </c>
      <c r="E204" s="334"/>
      <c r="F204" s="21">
        <f>+G204+H204+I204+K204</f>
        <v>650000</v>
      </c>
      <c r="G204" s="120"/>
      <c r="H204" s="120"/>
      <c r="I204" s="120"/>
      <c r="J204" s="120"/>
      <c r="K204" s="120">
        <f>+K205</f>
        <v>650000</v>
      </c>
      <c r="L204" s="21">
        <f>+M204+N204+O204+Q204</f>
        <v>650000</v>
      </c>
      <c r="M204" s="120"/>
      <c r="N204" s="120"/>
      <c r="O204" s="120"/>
      <c r="P204" s="120"/>
      <c r="Q204" s="120">
        <f>+Q205</f>
        <v>650000</v>
      </c>
      <c r="T204" s="202" t="e">
        <f t="shared" si="16"/>
        <v>#DIV/0!</v>
      </c>
      <c r="U204" s="202">
        <f t="shared" si="17"/>
        <v>0</v>
      </c>
    </row>
    <row r="205" spans="1:21" s="3" customFormat="1" ht="23.25" customHeight="1" hidden="1" thickBot="1" thickTop="1">
      <c r="A205" s="118"/>
      <c r="B205" s="69"/>
      <c r="C205" s="129"/>
      <c r="D205" s="130">
        <v>444211</v>
      </c>
      <c r="E205" s="291" t="s">
        <v>123</v>
      </c>
      <c r="F205" s="56">
        <f>+K205</f>
        <v>650000</v>
      </c>
      <c r="G205" s="178"/>
      <c r="H205" s="178"/>
      <c r="I205" s="178"/>
      <c r="J205" s="178"/>
      <c r="K205" s="178">
        <v>650000</v>
      </c>
      <c r="L205" s="56">
        <f>+Q205</f>
        <v>650000</v>
      </c>
      <c r="M205" s="178"/>
      <c r="N205" s="178"/>
      <c r="O205" s="178"/>
      <c r="P205" s="178"/>
      <c r="Q205" s="178">
        <v>650000</v>
      </c>
      <c r="S205" s="3">
        <v>78026.55</v>
      </c>
      <c r="T205" s="202" t="e">
        <f t="shared" si="16"/>
        <v>#DIV/0!</v>
      </c>
      <c r="U205" s="202">
        <f t="shared" si="17"/>
        <v>0.12004084615384616</v>
      </c>
    </row>
    <row r="206" spans="1:21" s="3" customFormat="1" ht="20.25" customHeight="1" thickBot="1" thickTop="1">
      <c r="A206" s="121" t="s">
        <v>33</v>
      </c>
      <c r="B206" s="60">
        <v>465000</v>
      </c>
      <c r="C206" s="119"/>
      <c r="D206" s="335" t="s">
        <v>124</v>
      </c>
      <c r="E206" s="335"/>
      <c r="F206" s="122">
        <f>+G206+H206+I206+K206</f>
        <v>2600000</v>
      </c>
      <c r="G206" s="123"/>
      <c r="H206" s="123"/>
      <c r="I206" s="123">
        <f>+I207</f>
        <v>2600000</v>
      </c>
      <c r="J206" s="123"/>
      <c r="K206" s="123">
        <f>+K207</f>
        <v>0</v>
      </c>
      <c r="L206" s="122">
        <f>+M206+N206+O206+Q206</f>
        <v>2600000</v>
      </c>
      <c r="M206" s="123"/>
      <c r="N206" s="123"/>
      <c r="O206" s="123">
        <f>+O207</f>
        <v>2600000</v>
      </c>
      <c r="P206" s="123"/>
      <c r="Q206" s="123">
        <f>+Q207</f>
        <v>0</v>
      </c>
      <c r="T206" s="202">
        <f t="shared" si="16"/>
        <v>0</v>
      </c>
      <c r="U206" s="202" t="e">
        <f t="shared" si="17"/>
        <v>#DIV/0!</v>
      </c>
    </row>
    <row r="207" spans="1:21" s="3" customFormat="1" ht="28.5" customHeight="1" hidden="1" thickBot="1" thickTop="1">
      <c r="A207" s="107"/>
      <c r="B207" s="111"/>
      <c r="C207" s="124" t="s">
        <v>395</v>
      </c>
      <c r="D207" s="44">
        <v>465112</v>
      </c>
      <c r="E207" s="125" t="s">
        <v>125</v>
      </c>
      <c r="F207" s="126">
        <f>+K207+I207</f>
        <v>2600000</v>
      </c>
      <c r="G207" s="127"/>
      <c r="H207" s="127"/>
      <c r="I207" s="127">
        <v>2600000</v>
      </c>
      <c r="J207" s="127"/>
      <c r="K207" s="127"/>
      <c r="L207" s="126">
        <f>+Q207+O207</f>
        <v>2600000</v>
      </c>
      <c r="M207" s="127"/>
      <c r="N207" s="127"/>
      <c r="O207" s="127">
        <v>2600000</v>
      </c>
      <c r="P207" s="127"/>
      <c r="Q207" s="127"/>
      <c r="R207" s="3">
        <v>1836965.5</v>
      </c>
      <c r="T207" s="202">
        <f t="shared" si="16"/>
        <v>0.7065251923076923</v>
      </c>
      <c r="U207" s="202" t="e">
        <f t="shared" si="17"/>
        <v>#DIV/0!</v>
      </c>
    </row>
    <row r="208" spans="1:21" s="3" customFormat="1" ht="28.5" customHeight="1" thickBot="1" thickTop="1">
      <c r="A208" s="118" t="s">
        <v>126</v>
      </c>
      <c r="B208" s="60">
        <v>481900</v>
      </c>
      <c r="C208" s="264"/>
      <c r="D208" s="336" t="s">
        <v>127</v>
      </c>
      <c r="E208" s="336"/>
      <c r="F208" s="265">
        <f>+I208+K208</f>
        <v>380000</v>
      </c>
      <c r="G208" s="266"/>
      <c r="H208" s="267"/>
      <c r="I208" s="267">
        <f>+I209</f>
        <v>285000</v>
      </c>
      <c r="J208" s="267"/>
      <c r="K208" s="267">
        <f>+K209</f>
        <v>95000</v>
      </c>
      <c r="L208" s="265">
        <f>+O208+Q208</f>
        <v>0</v>
      </c>
      <c r="M208" s="266"/>
      <c r="N208" s="267"/>
      <c r="O208" s="267">
        <f>+O209</f>
        <v>0</v>
      </c>
      <c r="P208" s="267"/>
      <c r="Q208" s="267">
        <f>+Q209</f>
        <v>0</v>
      </c>
      <c r="T208" s="202" t="e">
        <f t="shared" si="16"/>
        <v>#DIV/0!</v>
      </c>
      <c r="U208" s="202" t="e">
        <f t="shared" si="17"/>
        <v>#DIV/0!</v>
      </c>
    </row>
    <row r="209" spans="1:21" s="3" customFormat="1" ht="25.5" customHeight="1" hidden="1" thickBot="1" thickTop="1">
      <c r="A209" s="107"/>
      <c r="B209" s="111"/>
      <c r="C209" s="230" t="s">
        <v>396</v>
      </c>
      <c r="D209" s="236">
        <v>481991</v>
      </c>
      <c r="E209" s="237" t="s">
        <v>128</v>
      </c>
      <c r="F209" s="238">
        <f>+I209+K209</f>
        <v>380000</v>
      </c>
      <c r="G209" s="239"/>
      <c r="H209" s="239"/>
      <c r="I209" s="239">
        <v>285000</v>
      </c>
      <c r="J209" s="239"/>
      <c r="K209" s="239">
        <v>95000</v>
      </c>
      <c r="L209" s="238">
        <f>+O209+Q209</f>
        <v>0</v>
      </c>
      <c r="M209" s="239"/>
      <c r="N209" s="239"/>
      <c r="O209" s="239"/>
      <c r="P209" s="239"/>
      <c r="Q209" s="239"/>
      <c r="T209" s="222" t="e">
        <f t="shared" si="16"/>
        <v>#DIV/0!</v>
      </c>
      <c r="U209" s="202" t="e">
        <f t="shared" si="17"/>
        <v>#DIV/0!</v>
      </c>
    </row>
    <row r="210" spans="1:21" s="3" customFormat="1" ht="21" customHeight="1" thickBot="1" thickTop="1">
      <c r="A210" s="17" t="s">
        <v>129</v>
      </c>
      <c r="B210" s="60">
        <v>482000</v>
      </c>
      <c r="C210" s="119"/>
      <c r="D210" s="334" t="s">
        <v>130</v>
      </c>
      <c r="E210" s="334"/>
      <c r="F210" s="59">
        <f>SUM(G210:K210)</f>
        <v>989000</v>
      </c>
      <c r="G210" s="120"/>
      <c r="H210" s="59"/>
      <c r="I210" s="59">
        <f>+I211+I213+I215</f>
        <v>139000</v>
      </c>
      <c r="J210" s="59"/>
      <c r="K210" s="59">
        <f>+K211+K213+K214+K212+K216</f>
        <v>850000</v>
      </c>
      <c r="L210" s="59">
        <f>SUM(M210:Q210)</f>
        <v>989000</v>
      </c>
      <c r="M210" s="120"/>
      <c r="N210" s="59"/>
      <c r="O210" s="59">
        <f>+O211+O213+O215</f>
        <v>139000</v>
      </c>
      <c r="P210" s="59"/>
      <c r="Q210" s="59">
        <f>+Q211+Q213+Q214+Q212+Q216</f>
        <v>850000</v>
      </c>
      <c r="T210" s="202">
        <f t="shared" si="16"/>
        <v>0</v>
      </c>
      <c r="U210" s="202">
        <f t="shared" si="17"/>
        <v>0</v>
      </c>
    </row>
    <row r="211" spans="1:21" s="3" customFormat="1" ht="19.5" customHeight="1" hidden="1" thickTop="1">
      <c r="A211" s="85"/>
      <c r="B211" s="106"/>
      <c r="C211" s="134" t="s">
        <v>397</v>
      </c>
      <c r="D211" s="130">
        <v>482131</v>
      </c>
      <c r="E211" s="171" t="s">
        <v>398</v>
      </c>
      <c r="F211" s="56">
        <f aca="true" t="shared" si="20" ref="F211:F220">+G211+H211+I211+K211</f>
        <v>138000</v>
      </c>
      <c r="G211" s="178"/>
      <c r="H211" s="178"/>
      <c r="I211" s="178">
        <v>138000</v>
      </c>
      <c r="J211" s="178"/>
      <c r="K211" s="178"/>
      <c r="L211" s="56">
        <f aca="true" t="shared" si="21" ref="L211:L220">+M211+N211+O211+Q211</f>
        <v>138000</v>
      </c>
      <c r="M211" s="178"/>
      <c r="N211" s="178"/>
      <c r="O211" s="178">
        <v>138000</v>
      </c>
      <c r="P211" s="178"/>
      <c r="Q211" s="178"/>
      <c r="R211" s="3">
        <v>80636</v>
      </c>
      <c r="T211" s="202">
        <f t="shared" si="16"/>
        <v>0.5843188405797102</v>
      </c>
      <c r="U211" s="202" t="e">
        <f t="shared" si="17"/>
        <v>#DIV/0!</v>
      </c>
    </row>
    <row r="212" spans="1:21" s="3" customFormat="1" ht="19.5" customHeight="1" hidden="1">
      <c r="A212" s="85"/>
      <c r="B212" s="106"/>
      <c r="C212" s="134" t="s">
        <v>399</v>
      </c>
      <c r="D212" s="130">
        <v>4821912</v>
      </c>
      <c r="E212" s="171" t="s">
        <v>400</v>
      </c>
      <c r="F212" s="56">
        <f t="shared" si="20"/>
        <v>750000</v>
      </c>
      <c r="G212" s="178"/>
      <c r="H212" s="178"/>
      <c r="I212" s="178"/>
      <c r="J212" s="178"/>
      <c r="K212" s="178">
        <v>750000</v>
      </c>
      <c r="L212" s="56">
        <f t="shared" si="21"/>
        <v>750000</v>
      </c>
      <c r="M212" s="178"/>
      <c r="N212" s="178"/>
      <c r="O212" s="178"/>
      <c r="P212" s="178"/>
      <c r="Q212" s="178">
        <v>750000</v>
      </c>
      <c r="S212" s="3">
        <v>507273</v>
      </c>
      <c r="T212" s="202" t="e">
        <f t="shared" si="16"/>
        <v>#DIV/0!</v>
      </c>
      <c r="U212" s="202">
        <f t="shared" si="17"/>
        <v>0.676364</v>
      </c>
    </row>
    <row r="213" spans="1:21" s="3" customFormat="1" ht="19.5" customHeight="1" hidden="1">
      <c r="A213" s="76"/>
      <c r="B213" s="108"/>
      <c r="C213" s="134" t="s">
        <v>401</v>
      </c>
      <c r="D213" s="11">
        <v>482211</v>
      </c>
      <c r="E213" s="32" t="s">
        <v>402</v>
      </c>
      <c r="F213" s="35">
        <f t="shared" si="20"/>
        <v>45000</v>
      </c>
      <c r="G213" s="75"/>
      <c r="H213" s="75"/>
      <c r="I213" s="75"/>
      <c r="J213" s="75"/>
      <c r="K213" s="75">
        <v>45000</v>
      </c>
      <c r="L213" s="35">
        <f t="shared" si="21"/>
        <v>45000</v>
      </c>
      <c r="M213" s="75"/>
      <c r="N213" s="75"/>
      <c r="O213" s="75"/>
      <c r="P213" s="75"/>
      <c r="Q213" s="75">
        <v>45000</v>
      </c>
      <c r="R213" s="3">
        <f>1120+810</f>
        <v>1930</v>
      </c>
      <c r="S213" s="3">
        <v>1250</v>
      </c>
      <c r="T213" s="202" t="e">
        <f t="shared" si="16"/>
        <v>#DIV/0!</v>
      </c>
      <c r="U213" s="202">
        <f t="shared" si="17"/>
        <v>0.027777777777777776</v>
      </c>
    </row>
    <row r="214" spans="1:21" s="3" customFormat="1" ht="19.5" customHeight="1" hidden="1">
      <c r="A214" s="76"/>
      <c r="B214" s="108"/>
      <c r="C214" s="134" t="s">
        <v>403</v>
      </c>
      <c r="D214" s="11">
        <v>482251</v>
      </c>
      <c r="E214" s="32" t="s">
        <v>404</v>
      </c>
      <c r="F214" s="35">
        <f t="shared" si="20"/>
        <v>50000</v>
      </c>
      <c r="G214" s="75"/>
      <c r="H214" s="75"/>
      <c r="I214" s="75"/>
      <c r="J214" s="75"/>
      <c r="K214" s="75">
        <v>50000</v>
      </c>
      <c r="L214" s="35">
        <f t="shared" si="21"/>
        <v>50000</v>
      </c>
      <c r="M214" s="75"/>
      <c r="N214" s="75"/>
      <c r="O214" s="75"/>
      <c r="P214" s="75"/>
      <c r="Q214" s="75">
        <v>50000</v>
      </c>
      <c r="S214" s="3">
        <v>49955</v>
      </c>
      <c r="T214" s="202" t="e">
        <f t="shared" si="16"/>
        <v>#DIV/0!</v>
      </c>
      <c r="U214" s="203">
        <f t="shared" si="17"/>
        <v>0.9991</v>
      </c>
    </row>
    <row r="215" spans="1:21" s="3" customFormat="1" ht="19.5" customHeight="1" hidden="1">
      <c r="A215" s="68"/>
      <c r="B215" s="111"/>
      <c r="C215" s="134" t="s">
        <v>405</v>
      </c>
      <c r="D215" s="11">
        <v>482241</v>
      </c>
      <c r="E215" s="90" t="s">
        <v>406</v>
      </c>
      <c r="F215" s="35">
        <f t="shared" si="20"/>
        <v>1000</v>
      </c>
      <c r="G215" s="75"/>
      <c r="H215" s="75"/>
      <c r="I215" s="75">
        <v>1000</v>
      </c>
      <c r="J215" s="75"/>
      <c r="K215" s="75"/>
      <c r="L215" s="35">
        <f t="shared" si="21"/>
        <v>1000</v>
      </c>
      <c r="M215" s="75"/>
      <c r="N215" s="75"/>
      <c r="O215" s="75">
        <v>1000</v>
      </c>
      <c r="P215" s="75"/>
      <c r="Q215" s="75"/>
      <c r="T215" s="202">
        <f t="shared" si="16"/>
        <v>0</v>
      </c>
      <c r="U215" s="202" t="e">
        <f t="shared" si="17"/>
        <v>#DIV/0!</v>
      </c>
    </row>
    <row r="216" spans="1:21" s="3" customFormat="1" ht="19.5" customHeight="1" hidden="1" thickBot="1">
      <c r="A216" s="68"/>
      <c r="B216" s="111"/>
      <c r="C216" s="134" t="s">
        <v>407</v>
      </c>
      <c r="D216" s="129">
        <v>482311</v>
      </c>
      <c r="E216" s="179" t="s">
        <v>408</v>
      </c>
      <c r="F216" s="35">
        <f t="shared" si="20"/>
        <v>5000</v>
      </c>
      <c r="G216" s="127"/>
      <c r="H216" s="127"/>
      <c r="I216" s="127"/>
      <c r="J216" s="127"/>
      <c r="K216" s="127">
        <v>5000</v>
      </c>
      <c r="L216" s="35">
        <f t="shared" si="21"/>
        <v>5000</v>
      </c>
      <c r="M216" s="127"/>
      <c r="N216" s="127"/>
      <c r="O216" s="127"/>
      <c r="P216" s="127"/>
      <c r="Q216" s="127">
        <v>5000</v>
      </c>
      <c r="T216" s="202" t="e">
        <f t="shared" si="16"/>
        <v>#DIV/0!</v>
      </c>
      <c r="U216" s="202">
        <f t="shared" si="17"/>
        <v>0</v>
      </c>
    </row>
    <row r="217" spans="1:21" s="3" customFormat="1" ht="25.5" customHeight="1" thickBot="1" thickTop="1">
      <c r="A217" s="17" t="s">
        <v>131</v>
      </c>
      <c r="B217" s="60">
        <v>483000</v>
      </c>
      <c r="C217" s="268"/>
      <c r="D217" s="337" t="s">
        <v>132</v>
      </c>
      <c r="E217" s="338"/>
      <c r="F217" s="265">
        <f t="shared" si="20"/>
        <v>410000</v>
      </c>
      <c r="G217" s="266"/>
      <c r="H217" s="267"/>
      <c r="I217" s="267"/>
      <c r="J217" s="267"/>
      <c r="K217" s="267">
        <f>+K218+K219+K220</f>
        <v>410000</v>
      </c>
      <c r="L217" s="265">
        <f t="shared" si="21"/>
        <v>1643588</v>
      </c>
      <c r="M217" s="266"/>
      <c r="N217" s="267"/>
      <c r="O217" s="267"/>
      <c r="P217" s="267"/>
      <c r="Q217" s="267">
        <f>+Q218+Q219+Q220</f>
        <v>1643588</v>
      </c>
      <c r="T217" s="202" t="e">
        <f t="shared" si="16"/>
        <v>#DIV/0!</v>
      </c>
      <c r="U217" s="202">
        <f t="shared" si="17"/>
        <v>0</v>
      </c>
    </row>
    <row r="218" spans="1:21" s="3" customFormat="1" ht="24" customHeight="1" hidden="1" thickTop="1">
      <c r="A218" s="68"/>
      <c r="B218" s="111"/>
      <c r="C218" s="225" t="s">
        <v>409</v>
      </c>
      <c r="D218" s="226">
        <v>483111</v>
      </c>
      <c r="E218" s="227" t="s">
        <v>133</v>
      </c>
      <c r="F218" s="228">
        <f t="shared" si="20"/>
        <v>300000</v>
      </c>
      <c r="G218" s="229"/>
      <c r="H218" s="229"/>
      <c r="I218" s="229"/>
      <c r="J218" s="229"/>
      <c r="K218" s="229">
        <v>300000</v>
      </c>
      <c r="L218" s="228">
        <f t="shared" si="21"/>
        <v>1340505</v>
      </c>
      <c r="M218" s="229"/>
      <c r="N218" s="229"/>
      <c r="O218" s="229"/>
      <c r="P218" s="229"/>
      <c r="Q218" s="229">
        <v>1340505</v>
      </c>
      <c r="S218" s="3">
        <v>1340505.35</v>
      </c>
      <c r="T218" s="202" t="e">
        <f t="shared" si="16"/>
        <v>#DIV/0!</v>
      </c>
      <c r="U218" s="203">
        <f t="shared" si="17"/>
        <v>1.000000261095632</v>
      </c>
    </row>
    <row r="219" spans="1:21" s="3" customFormat="1" ht="24" customHeight="1" hidden="1">
      <c r="A219" s="68"/>
      <c r="B219" s="111"/>
      <c r="C219" s="124" t="s">
        <v>410</v>
      </c>
      <c r="D219" s="11">
        <v>4831112</v>
      </c>
      <c r="E219" s="90" t="s">
        <v>411</v>
      </c>
      <c r="F219" s="35">
        <f t="shared" si="20"/>
        <v>10000</v>
      </c>
      <c r="G219" s="75"/>
      <c r="H219" s="75"/>
      <c r="I219" s="75"/>
      <c r="J219" s="75"/>
      <c r="K219" s="75">
        <v>10000</v>
      </c>
      <c r="L219" s="35">
        <f t="shared" si="21"/>
        <v>10000</v>
      </c>
      <c r="M219" s="75"/>
      <c r="N219" s="75"/>
      <c r="O219" s="75"/>
      <c r="P219" s="75"/>
      <c r="Q219" s="75">
        <v>10000</v>
      </c>
      <c r="T219" s="202" t="e">
        <f t="shared" si="16"/>
        <v>#DIV/0!</v>
      </c>
      <c r="U219" s="202">
        <f t="shared" si="17"/>
        <v>0</v>
      </c>
    </row>
    <row r="220" spans="1:21" s="3" customFormat="1" ht="24" customHeight="1" hidden="1" thickBot="1">
      <c r="A220" s="68"/>
      <c r="B220" s="111"/>
      <c r="C220" s="230" t="s">
        <v>412</v>
      </c>
      <c r="D220" s="231">
        <v>4831113</v>
      </c>
      <c r="E220" s="232" t="s">
        <v>413</v>
      </c>
      <c r="F220" s="233">
        <f t="shared" si="20"/>
        <v>100000</v>
      </c>
      <c r="G220" s="234"/>
      <c r="H220" s="234"/>
      <c r="I220" s="234"/>
      <c r="J220" s="234"/>
      <c r="K220" s="234">
        <v>100000</v>
      </c>
      <c r="L220" s="233">
        <f t="shared" si="21"/>
        <v>293083</v>
      </c>
      <c r="M220" s="234"/>
      <c r="N220" s="234"/>
      <c r="O220" s="234"/>
      <c r="P220" s="234"/>
      <c r="Q220" s="234">
        <f>198083+95000</f>
        <v>293083</v>
      </c>
      <c r="S220" s="3">
        <v>198082.75</v>
      </c>
      <c r="T220" s="202" t="e">
        <f t="shared" si="16"/>
        <v>#DIV/0!</v>
      </c>
      <c r="U220" s="203">
        <f t="shared" si="17"/>
        <v>0.6758588863905447</v>
      </c>
    </row>
    <row r="221" spans="1:21" s="3" customFormat="1" ht="20.25" customHeight="1" thickBot="1" thickTop="1">
      <c r="A221" s="142" t="s">
        <v>134</v>
      </c>
      <c r="B221" s="180" t="s">
        <v>135</v>
      </c>
      <c r="C221" s="181" t="s">
        <v>414</v>
      </c>
      <c r="D221" s="327" t="s">
        <v>136</v>
      </c>
      <c r="E221" s="327"/>
      <c r="F221" s="122">
        <f>+H221+J221+K221</f>
        <v>24696280</v>
      </c>
      <c r="G221" s="131"/>
      <c r="H221" s="122">
        <f>+H222+H223+H224+H232+H233+H236</f>
        <v>16500000</v>
      </c>
      <c r="I221" s="122">
        <f>+I222+I223+I224+I232+I233+I236</f>
        <v>0</v>
      </c>
      <c r="J221" s="122">
        <f>+J222+J223+J224+J232+J233+J236</f>
        <v>7935000</v>
      </c>
      <c r="K221" s="122">
        <f>+K222+K223+K224+K232+K233+K236</f>
        <v>261280</v>
      </c>
      <c r="L221" s="122">
        <f>+M221+N221+O221+Q221+P221</f>
        <v>24756280</v>
      </c>
      <c r="M221" s="131"/>
      <c r="N221" s="122">
        <f>+N222+N223+N224+N232+N233+N236</f>
        <v>16500000</v>
      </c>
      <c r="O221" s="122">
        <f>+O222+O223+O224+O232+O233+O236</f>
        <v>0</v>
      </c>
      <c r="P221" s="122">
        <f>+P222+P223+P224+P232+P233+P236</f>
        <v>7935000</v>
      </c>
      <c r="Q221" s="122">
        <f>+Q222+Q223+Q224+Q232+Q233+Q236</f>
        <v>321280</v>
      </c>
      <c r="T221" s="202" t="e">
        <f t="shared" si="16"/>
        <v>#DIV/0!</v>
      </c>
      <c r="U221" s="202">
        <f t="shared" si="17"/>
        <v>0</v>
      </c>
    </row>
    <row r="222" spans="1:21" s="3" customFormat="1" ht="18" customHeight="1" thickTop="1">
      <c r="A222" s="85"/>
      <c r="B222" s="106"/>
      <c r="C222" s="182" t="s">
        <v>415</v>
      </c>
      <c r="D222" s="130">
        <v>511300</v>
      </c>
      <c r="E222" s="25" t="s">
        <v>137</v>
      </c>
      <c r="F222" s="56">
        <f>+G222+H222+I222+K222</f>
        <v>3000000</v>
      </c>
      <c r="G222" s="133"/>
      <c r="H222" s="56">
        <v>3000000</v>
      </c>
      <c r="I222" s="56"/>
      <c r="J222" s="56"/>
      <c r="K222" s="56"/>
      <c r="L222" s="56">
        <f>+M222+N222+O222+Q222</f>
        <v>3000000</v>
      </c>
      <c r="M222" s="133"/>
      <c r="N222" s="56">
        <v>3000000</v>
      </c>
      <c r="O222" s="56"/>
      <c r="P222" s="56"/>
      <c r="Q222" s="56"/>
      <c r="T222" s="202" t="e">
        <f t="shared" si="16"/>
        <v>#DIV/0!</v>
      </c>
      <c r="U222" s="202" t="e">
        <f t="shared" si="17"/>
        <v>#DIV/0!</v>
      </c>
    </row>
    <row r="223" spans="1:21" s="3" customFormat="1" ht="18" customHeight="1">
      <c r="A223" s="85"/>
      <c r="B223" s="106"/>
      <c r="C223" s="182" t="s">
        <v>416</v>
      </c>
      <c r="D223" s="130">
        <v>512100</v>
      </c>
      <c r="E223" s="192" t="s">
        <v>417</v>
      </c>
      <c r="F223" s="56">
        <f>+G223+H223+I223+K223+J223</f>
        <v>13435000</v>
      </c>
      <c r="G223" s="133"/>
      <c r="H223" s="56">
        <v>5500000</v>
      </c>
      <c r="I223" s="56"/>
      <c r="J223" s="56">
        <v>7935000</v>
      </c>
      <c r="K223" s="56"/>
      <c r="L223" s="56">
        <f>+M223+N223+O223+Q223+P223</f>
        <v>13435000</v>
      </c>
      <c r="M223" s="133"/>
      <c r="N223" s="56">
        <v>5500000</v>
      </c>
      <c r="O223" s="56"/>
      <c r="P223" s="56">
        <v>7935000</v>
      </c>
      <c r="Q223" s="56"/>
      <c r="S223" s="3">
        <v>5480000</v>
      </c>
      <c r="T223" s="202" t="e">
        <f t="shared" si="16"/>
        <v>#DIV/0!</v>
      </c>
      <c r="U223" s="202" t="e">
        <f t="shared" si="17"/>
        <v>#DIV/0!</v>
      </c>
    </row>
    <row r="224" spans="1:21" s="3" customFormat="1" ht="18" customHeight="1">
      <c r="A224" s="85"/>
      <c r="B224" s="106"/>
      <c r="C224" s="270" t="s">
        <v>418</v>
      </c>
      <c r="D224" s="271">
        <v>512200</v>
      </c>
      <c r="E224" s="272" t="s">
        <v>138</v>
      </c>
      <c r="F224" s="273">
        <f>+F225+F226+F227+F228+F229+F230+F231</f>
        <v>2551280</v>
      </c>
      <c r="G224" s="273">
        <f aca="true" t="shared" si="22" ref="G224:Q224">+G225+G226+G227+G228+G229+G230+G231</f>
        <v>0</v>
      </c>
      <c r="H224" s="273">
        <f t="shared" si="22"/>
        <v>2500000</v>
      </c>
      <c r="I224" s="273">
        <f t="shared" si="22"/>
        <v>0</v>
      </c>
      <c r="J224" s="273">
        <f t="shared" si="22"/>
        <v>0</v>
      </c>
      <c r="K224" s="273">
        <f t="shared" si="22"/>
        <v>51280</v>
      </c>
      <c r="L224" s="273">
        <f t="shared" si="22"/>
        <v>2611280</v>
      </c>
      <c r="M224" s="273">
        <f t="shared" si="22"/>
        <v>0</v>
      </c>
      <c r="N224" s="273">
        <f t="shared" si="22"/>
        <v>2500000</v>
      </c>
      <c r="O224" s="273">
        <f t="shared" si="22"/>
        <v>0</v>
      </c>
      <c r="P224" s="273">
        <f t="shared" si="22"/>
        <v>0</v>
      </c>
      <c r="Q224" s="273">
        <f t="shared" si="22"/>
        <v>111280</v>
      </c>
      <c r="T224" s="202"/>
      <c r="U224" s="202"/>
    </row>
    <row r="225" spans="1:21" s="3" customFormat="1" ht="18" customHeight="1" hidden="1">
      <c r="A225" s="76"/>
      <c r="B225" s="108"/>
      <c r="C225" s="182" t="s">
        <v>418</v>
      </c>
      <c r="D225" s="11">
        <v>512211</v>
      </c>
      <c r="E225" s="114" t="s">
        <v>293</v>
      </c>
      <c r="F225" s="35">
        <f>+G225+H225+I225+K225</f>
        <v>1500000</v>
      </c>
      <c r="G225" s="82"/>
      <c r="H225" s="35">
        <v>1500000</v>
      </c>
      <c r="I225" s="35"/>
      <c r="J225" s="35"/>
      <c r="K225" s="35"/>
      <c r="L225" s="35">
        <f aca="true" t="shared" si="23" ref="L225:L232">+M225+N225+O225+Q225</f>
        <v>1500000</v>
      </c>
      <c r="M225" s="82"/>
      <c r="N225" s="35">
        <v>1500000</v>
      </c>
      <c r="O225" s="35"/>
      <c r="P225" s="35"/>
      <c r="Q225" s="35"/>
      <c r="T225" s="202" t="e">
        <f t="shared" si="16"/>
        <v>#DIV/0!</v>
      </c>
      <c r="U225" s="202" t="e">
        <f t="shared" si="17"/>
        <v>#DIV/0!</v>
      </c>
    </row>
    <row r="226" spans="1:21" s="3" customFormat="1" ht="18" customHeight="1" hidden="1">
      <c r="A226" s="76"/>
      <c r="B226" s="108"/>
      <c r="C226" s="182" t="s">
        <v>419</v>
      </c>
      <c r="D226" s="11">
        <v>512212</v>
      </c>
      <c r="E226" s="114" t="s">
        <v>420</v>
      </c>
      <c r="F226" s="35">
        <f>+G226+H226+I226+K226</f>
        <v>250000</v>
      </c>
      <c r="G226" s="82"/>
      <c r="H226" s="35">
        <v>250000</v>
      </c>
      <c r="I226" s="35"/>
      <c r="J226" s="35"/>
      <c r="K226" s="35"/>
      <c r="L226" s="35">
        <f t="shared" si="23"/>
        <v>250000</v>
      </c>
      <c r="M226" s="82"/>
      <c r="N226" s="35">
        <v>250000</v>
      </c>
      <c r="O226" s="35"/>
      <c r="P226" s="35"/>
      <c r="Q226" s="35"/>
      <c r="S226" s="3">
        <v>249600</v>
      </c>
      <c r="T226" s="202" t="e">
        <f t="shared" si="16"/>
        <v>#DIV/0!</v>
      </c>
      <c r="U226" s="202" t="e">
        <f t="shared" si="17"/>
        <v>#DIV/0!</v>
      </c>
    </row>
    <row r="227" spans="1:21" s="3" customFormat="1" ht="18" customHeight="1" hidden="1">
      <c r="A227" s="76"/>
      <c r="B227" s="108"/>
      <c r="C227" s="182" t="s">
        <v>421</v>
      </c>
      <c r="D227" s="11">
        <v>512221</v>
      </c>
      <c r="E227" s="32" t="s">
        <v>295</v>
      </c>
      <c r="F227" s="35">
        <f>+G227+H227+I227+K227</f>
        <v>750000</v>
      </c>
      <c r="G227" s="82"/>
      <c r="H227" s="35">
        <v>750000</v>
      </c>
      <c r="I227" s="35"/>
      <c r="J227" s="35"/>
      <c r="K227" s="35"/>
      <c r="L227" s="35">
        <f t="shared" si="23"/>
        <v>750000</v>
      </c>
      <c r="M227" s="82"/>
      <c r="N227" s="35">
        <v>750000</v>
      </c>
      <c r="O227" s="35"/>
      <c r="P227" s="35"/>
      <c r="Q227" s="35"/>
      <c r="T227" s="202" t="e">
        <f t="shared" si="16"/>
        <v>#DIV/0!</v>
      </c>
      <c r="U227" s="202" t="e">
        <f t="shared" si="17"/>
        <v>#DIV/0!</v>
      </c>
    </row>
    <row r="228" spans="1:21" s="3" customFormat="1" ht="18" customHeight="1" hidden="1">
      <c r="A228" s="76"/>
      <c r="B228" s="108"/>
      <c r="C228" s="182" t="s">
        <v>422</v>
      </c>
      <c r="D228" s="11">
        <v>512232</v>
      </c>
      <c r="E228" s="32" t="s">
        <v>423</v>
      </c>
      <c r="F228" s="35">
        <f>+G228+H228+I228+K228</f>
        <v>10000</v>
      </c>
      <c r="G228" s="82"/>
      <c r="H228" s="35"/>
      <c r="I228" s="35"/>
      <c r="J228" s="35"/>
      <c r="K228" s="35">
        <v>10000</v>
      </c>
      <c r="L228" s="35">
        <f t="shared" si="23"/>
        <v>10000</v>
      </c>
      <c r="M228" s="82"/>
      <c r="N228" s="35"/>
      <c r="O228" s="35"/>
      <c r="P228" s="35"/>
      <c r="Q228" s="35">
        <v>10000</v>
      </c>
      <c r="T228" s="202" t="e">
        <f t="shared" si="16"/>
        <v>#DIV/0!</v>
      </c>
      <c r="U228" s="202">
        <f t="shared" si="17"/>
        <v>0</v>
      </c>
    </row>
    <row r="229" spans="1:21" s="3" customFormat="1" ht="18" customHeight="1" hidden="1">
      <c r="A229" s="76"/>
      <c r="B229" s="108"/>
      <c r="C229" s="182" t="s">
        <v>424</v>
      </c>
      <c r="D229" s="241">
        <v>512241</v>
      </c>
      <c r="E229" s="269" t="s">
        <v>463</v>
      </c>
      <c r="F229" s="243"/>
      <c r="G229" s="245"/>
      <c r="H229" s="243"/>
      <c r="I229" s="243"/>
      <c r="J229" s="243"/>
      <c r="K229" s="243"/>
      <c r="L229" s="243">
        <f t="shared" si="23"/>
        <v>60000</v>
      </c>
      <c r="M229" s="245"/>
      <c r="N229" s="243"/>
      <c r="O229" s="243"/>
      <c r="P229" s="243"/>
      <c r="Q229" s="243">
        <f>20000+40000</f>
        <v>60000</v>
      </c>
      <c r="S229" s="3">
        <v>660000</v>
      </c>
      <c r="T229" s="202" t="e">
        <f t="shared" si="16"/>
        <v>#DIV/0!</v>
      </c>
      <c r="U229" s="202">
        <f t="shared" si="17"/>
        <v>11</v>
      </c>
    </row>
    <row r="230" spans="1:21" s="3" customFormat="1" ht="18" customHeight="1" hidden="1">
      <c r="A230" s="76"/>
      <c r="B230" s="108"/>
      <c r="C230" s="182" t="s">
        <v>425</v>
      </c>
      <c r="D230" s="11">
        <v>512251</v>
      </c>
      <c r="E230" s="95" t="s">
        <v>427</v>
      </c>
      <c r="F230" s="35">
        <f>+G230+H230+I230+K230</f>
        <v>0</v>
      </c>
      <c r="G230" s="82"/>
      <c r="H230" s="35"/>
      <c r="I230" s="35"/>
      <c r="J230" s="35"/>
      <c r="K230" s="35"/>
      <c r="L230" s="35">
        <f t="shared" si="23"/>
        <v>0</v>
      </c>
      <c r="M230" s="82"/>
      <c r="N230" s="35"/>
      <c r="O230" s="35"/>
      <c r="P230" s="35"/>
      <c r="Q230" s="35"/>
      <c r="T230" s="202" t="e">
        <f t="shared" si="16"/>
        <v>#DIV/0!</v>
      </c>
      <c r="U230" s="202" t="e">
        <f t="shared" si="17"/>
        <v>#DIV/0!</v>
      </c>
    </row>
    <row r="231" spans="1:21" s="3" customFormat="1" ht="18" customHeight="1" hidden="1">
      <c r="A231" s="76"/>
      <c r="B231" s="108"/>
      <c r="C231" s="182"/>
      <c r="D231" s="11">
        <v>5122311</v>
      </c>
      <c r="E231" s="95" t="s">
        <v>428</v>
      </c>
      <c r="F231" s="35">
        <f>+G231+H231+I231+K231</f>
        <v>41280</v>
      </c>
      <c r="G231" s="82"/>
      <c r="H231" s="35"/>
      <c r="I231" s="35"/>
      <c r="J231" s="35"/>
      <c r="K231" s="35">
        <v>41280</v>
      </c>
      <c r="L231" s="35">
        <f t="shared" si="23"/>
        <v>41280</v>
      </c>
      <c r="M231" s="82"/>
      <c r="N231" s="35"/>
      <c r="O231" s="35"/>
      <c r="P231" s="35"/>
      <c r="Q231" s="35">
        <v>41280</v>
      </c>
      <c r="T231" s="202"/>
      <c r="U231" s="202"/>
    </row>
    <row r="232" spans="1:21" s="3" customFormat="1" ht="21.75" customHeight="1">
      <c r="A232" s="76"/>
      <c r="B232" s="108"/>
      <c r="C232" s="182" t="s">
        <v>419</v>
      </c>
      <c r="D232" s="11">
        <v>512400</v>
      </c>
      <c r="E232" s="95" t="s">
        <v>139</v>
      </c>
      <c r="F232" s="35">
        <f>+G232+H232+I232+K232</f>
        <v>10000</v>
      </c>
      <c r="G232" s="82"/>
      <c r="H232" s="35"/>
      <c r="I232" s="35"/>
      <c r="J232" s="35"/>
      <c r="K232" s="35">
        <v>10000</v>
      </c>
      <c r="L232" s="35">
        <f t="shared" si="23"/>
        <v>10000</v>
      </c>
      <c r="M232" s="82"/>
      <c r="N232" s="35"/>
      <c r="O232" s="35"/>
      <c r="P232" s="35"/>
      <c r="Q232" s="35">
        <v>10000</v>
      </c>
      <c r="T232" s="202" t="e">
        <f t="shared" si="16"/>
        <v>#DIV/0!</v>
      </c>
      <c r="U232" s="202">
        <f t="shared" si="17"/>
        <v>0</v>
      </c>
    </row>
    <row r="233" spans="1:21" s="3" customFormat="1" ht="18" customHeight="1">
      <c r="A233" s="76"/>
      <c r="B233" s="108"/>
      <c r="C233" s="182" t="s">
        <v>421</v>
      </c>
      <c r="D233" s="11">
        <v>512500</v>
      </c>
      <c r="E233" s="95" t="s">
        <v>464</v>
      </c>
      <c r="F233" s="35">
        <f>+F234+F235</f>
        <v>5500000</v>
      </c>
      <c r="G233" s="35">
        <f aca="true" t="shared" si="24" ref="G233:Q233">+G234+G235</f>
        <v>0</v>
      </c>
      <c r="H233" s="35">
        <f t="shared" si="24"/>
        <v>5500000</v>
      </c>
      <c r="I233" s="35">
        <f t="shared" si="24"/>
        <v>0</v>
      </c>
      <c r="J233" s="35">
        <f t="shared" si="24"/>
        <v>0</v>
      </c>
      <c r="K233" s="35">
        <f t="shared" si="24"/>
        <v>0</v>
      </c>
      <c r="L233" s="35">
        <f t="shared" si="24"/>
        <v>5500000</v>
      </c>
      <c r="M233" s="35">
        <f t="shared" si="24"/>
        <v>0</v>
      </c>
      <c r="N233" s="35">
        <f t="shared" si="24"/>
        <v>5500000</v>
      </c>
      <c r="O233" s="35">
        <f t="shared" si="24"/>
        <v>0</v>
      </c>
      <c r="P233" s="35">
        <f t="shared" si="24"/>
        <v>0</v>
      </c>
      <c r="Q233" s="35">
        <f t="shared" si="24"/>
        <v>0</v>
      </c>
      <c r="T233" s="202"/>
      <c r="U233" s="202"/>
    </row>
    <row r="234" spans="1:21" s="3" customFormat="1" ht="24" customHeight="1" hidden="1">
      <c r="A234" s="76"/>
      <c r="B234" s="108"/>
      <c r="C234" s="182" t="s">
        <v>422</v>
      </c>
      <c r="D234" s="183">
        <v>512511</v>
      </c>
      <c r="E234" s="32" t="s">
        <v>140</v>
      </c>
      <c r="F234" s="35">
        <f>+G234+H234+I234+K234</f>
        <v>5500000</v>
      </c>
      <c r="G234" s="82"/>
      <c r="H234" s="35">
        <v>5500000</v>
      </c>
      <c r="I234" s="35"/>
      <c r="J234" s="35"/>
      <c r="K234" s="35"/>
      <c r="L234" s="35">
        <f>+M234+N234+O234+Q234</f>
        <v>5500000</v>
      </c>
      <c r="M234" s="82"/>
      <c r="N234" s="35">
        <v>5500000</v>
      </c>
      <c r="O234" s="35"/>
      <c r="P234" s="35"/>
      <c r="Q234" s="35"/>
      <c r="S234" s="3">
        <v>41280</v>
      </c>
      <c r="T234" s="202" t="e">
        <f t="shared" si="16"/>
        <v>#DIV/0!</v>
      </c>
      <c r="U234" s="202" t="e">
        <f t="shared" si="17"/>
        <v>#DIV/0!</v>
      </c>
    </row>
    <row r="235" spans="1:21" s="3" customFormat="1" ht="24" customHeight="1" hidden="1">
      <c r="A235" s="76"/>
      <c r="B235" s="108"/>
      <c r="C235" s="182" t="s">
        <v>424</v>
      </c>
      <c r="D235" s="11">
        <v>512531</v>
      </c>
      <c r="E235" s="95" t="s">
        <v>426</v>
      </c>
      <c r="F235" s="35">
        <f>+G235+H235+I235+K235</f>
        <v>0</v>
      </c>
      <c r="G235" s="82"/>
      <c r="H235" s="35"/>
      <c r="I235" s="35"/>
      <c r="J235" s="35"/>
      <c r="K235" s="35"/>
      <c r="L235" s="35">
        <f>+M235+N235+O235+Q235</f>
        <v>0</v>
      </c>
      <c r="M235" s="82"/>
      <c r="N235" s="35"/>
      <c r="O235" s="35"/>
      <c r="P235" s="35"/>
      <c r="Q235" s="35"/>
      <c r="S235" s="3">
        <v>5112</v>
      </c>
      <c r="T235" s="202" t="e">
        <f t="shared" si="16"/>
        <v>#DIV/0!</v>
      </c>
      <c r="U235" s="202" t="e">
        <f t="shared" si="17"/>
        <v>#DIV/0!</v>
      </c>
    </row>
    <row r="236" spans="1:21" s="3" customFormat="1" ht="24" customHeight="1">
      <c r="A236" s="76"/>
      <c r="B236" s="108"/>
      <c r="C236" s="182" t="s">
        <v>422</v>
      </c>
      <c r="D236" s="11">
        <v>515100</v>
      </c>
      <c r="E236" s="95" t="s">
        <v>141</v>
      </c>
      <c r="F236" s="35">
        <f>+G236+H236+I236+K236</f>
        <v>200000</v>
      </c>
      <c r="G236" s="82"/>
      <c r="H236" s="35"/>
      <c r="I236" s="35"/>
      <c r="J236" s="35"/>
      <c r="K236" s="35">
        <v>200000</v>
      </c>
      <c r="L236" s="35">
        <f>+M236+N236+O236+Q236</f>
        <v>200000</v>
      </c>
      <c r="M236" s="82"/>
      <c r="N236" s="35"/>
      <c r="O236" s="35"/>
      <c r="P236" s="35"/>
      <c r="Q236" s="35">
        <v>200000</v>
      </c>
      <c r="T236" s="202"/>
      <c r="U236" s="202"/>
    </row>
    <row r="237" spans="1:21" s="135" customFormat="1" ht="24.75" customHeight="1">
      <c r="A237" s="328" t="s">
        <v>142</v>
      </c>
      <c r="B237" s="328"/>
      <c r="C237" s="328"/>
      <c r="D237" s="328"/>
      <c r="E237" s="328"/>
      <c r="F237" s="38">
        <f>+F221+F217+F204+F210+F60+F33+F206+F208</f>
        <v>694990197.01</v>
      </c>
      <c r="G237" s="38">
        <f>+G221+G217+G204+G210+G60+G33</f>
        <v>1484.59</v>
      </c>
      <c r="H237" s="38">
        <f>+H221+H217+H204+H210+H60+H33</f>
        <v>22874528.09</v>
      </c>
      <c r="I237" s="38">
        <f>+I221+I217+I204+I210+I60+I33+I206+I208</f>
        <v>642369184.3299999</v>
      </c>
      <c r="J237" s="38">
        <f>+J221+J217+J204+J210+J60+J33+J206+J208</f>
        <v>8000000</v>
      </c>
      <c r="K237" s="38">
        <f>+K221+K217+K204+K210+K60+K33+K206+K208</f>
        <v>21745000</v>
      </c>
      <c r="L237" s="38">
        <f>+L221+L217+L204+L210+L60+L33+L206+L208</f>
        <v>692194197.02</v>
      </c>
      <c r="M237" s="38">
        <f>+M221+M217+M204+M210+M60+M33</f>
        <v>1484.59</v>
      </c>
      <c r="N237" s="38">
        <f>+N221+N217+N204+N210+N60+N33</f>
        <v>22874528.09</v>
      </c>
      <c r="O237" s="38">
        <f>+O221+O217+O204+O210+O60+O33+O206+O208</f>
        <v>639573184.3399999</v>
      </c>
      <c r="P237" s="38">
        <f>+P221+P217+P204+P210+P60+P33+P206+P208</f>
        <v>8000000</v>
      </c>
      <c r="Q237" s="38">
        <f>+Q221+Q217+Q204+Q210+Q60+Q33+Q206+Q208</f>
        <v>21745000</v>
      </c>
      <c r="R237" s="3"/>
      <c r="S237" s="3"/>
      <c r="T237" s="202">
        <f>+R237/O237</f>
        <v>0</v>
      </c>
      <c r="U237" s="202">
        <f>+S237/Q237</f>
        <v>0</v>
      </c>
    </row>
    <row r="238" spans="1:19" s="135" customFormat="1" ht="15.75" customHeight="1">
      <c r="A238" s="63"/>
      <c r="B238" s="63"/>
      <c r="C238" s="63"/>
      <c r="D238" s="63"/>
      <c r="E238" s="63"/>
      <c r="F238" s="136"/>
      <c r="G238" s="136"/>
      <c r="H238" s="136"/>
      <c r="I238" s="136"/>
      <c r="J238" s="136"/>
      <c r="K238" s="136"/>
      <c r="L238" s="136"/>
      <c r="N238" s="3"/>
      <c r="R238" s="3"/>
      <c r="S238" s="3"/>
    </row>
    <row r="239" spans="1:19" s="135" customFormat="1" ht="24.75" customHeight="1" hidden="1">
      <c r="A239" s="63"/>
      <c r="B239" s="63"/>
      <c r="C239" s="63"/>
      <c r="D239" s="63"/>
      <c r="E239" s="63"/>
      <c r="F239" s="136"/>
      <c r="G239" s="136"/>
      <c r="H239" s="136"/>
      <c r="I239" s="136"/>
      <c r="J239" s="136"/>
      <c r="K239" s="136"/>
      <c r="L239" s="136"/>
      <c r="N239" s="3"/>
      <c r="R239" s="3"/>
      <c r="S239" s="3"/>
    </row>
    <row r="240" spans="1:19" s="135" customFormat="1" ht="15" customHeight="1">
      <c r="A240" s="137" t="s">
        <v>143</v>
      </c>
      <c r="B240" s="137"/>
      <c r="C240" s="137"/>
      <c r="D240" s="137"/>
      <c r="E240" s="138"/>
      <c r="N240" s="3"/>
      <c r="R240" s="3"/>
      <c r="S240" s="3"/>
    </row>
    <row r="241" spans="1:19" s="135" customFormat="1" ht="1.5" customHeight="1">
      <c r="A241" s="137"/>
      <c r="B241" s="137"/>
      <c r="C241" s="137"/>
      <c r="D241" s="137"/>
      <c r="E241" s="138"/>
      <c r="F241" s="3"/>
      <c r="G241" s="3"/>
      <c r="H241" s="3"/>
      <c r="K241" s="3"/>
      <c r="L241" s="3"/>
      <c r="N241" s="3"/>
      <c r="R241" s="3"/>
      <c r="S241" s="3"/>
    </row>
    <row r="242" spans="1:19" s="135" customFormat="1" ht="35.25" customHeight="1">
      <c r="A242" s="139" t="s">
        <v>144</v>
      </c>
      <c r="B242" s="137"/>
      <c r="C242" s="137"/>
      <c r="D242" s="137"/>
      <c r="E242" s="138"/>
      <c r="R242" s="3"/>
      <c r="S242" s="3"/>
    </row>
    <row r="243" spans="1:19" s="135" customFormat="1" ht="12">
      <c r="A243" s="137" t="s">
        <v>145</v>
      </c>
      <c r="B243" s="137"/>
      <c r="C243" s="137"/>
      <c r="D243" s="137"/>
      <c r="E243" s="138"/>
      <c r="F243" s="1"/>
      <c r="G243" s="1"/>
      <c r="H243" s="1"/>
      <c r="N243" s="3"/>
      <c r="R243" s="3"/>
      <c r="S243" s="3"/>
    </row>
    <row r="244" spans="1:19" s="135" customFormat="1" ht="12">
      <c r="A244" s="137" t="s">
        <v>146</v>
      </c>
      <c r="B244" s="137"/>
      <c r="C244" s="137"/>
      <c r="D244" s="137"/>
      <c r="E244" s="138"/>
      <c r="F244" s="1"/>
      <c r="G244" s="1"/>
      <c r="H244" s="1"/>
      <c r="N244" s="3"/>
      <c r="R244" s="3"/>
      <c r="S244" s="3"/>
    </row>
    <row r="245" spans="1:19" s="135" customFormat="1" ht="24.75" customHeight="1">
      <c r="A245" s="137"/>
      <c r="B245" s="137"/>
      <c r="C245" s="137"/>
      <c r="D245" s="137"/>
      <c r="E245" s="299" t="s">
        <v>465</v>
      </c>
      <c r="F245" s="1"/>
      <c r="G245" s="1"/>
      <c r="H245" s="1"/>
      <c r="N245" s="3"/>
      <c r="R245" s="3"/>
      <c r="S245" s="3"/>
    </row>
    <row r="246" spans="1:19" s="135" customFormat="1" ht="12">
      <c r="A246" s="137" t="s">
        <v>147</v>
      </c>
      <c r="B246" s="137"/>
      <c r="C246" s="137"/>
      <c r="D246" s="137"/>
      <c r="E246" s="138"/>
      <c r="F246" s="1"/>
      <c r="G246" s="1"/>
      <c r="H246" s="1"/>
      <c r="I246" s="329"/>
      <c r="J246" s="329"/>
      <c r="K246" s="329"/>
      <c r="L246" s="140"/>
      <c r="N246" s="3"/>
      <c r="O246" s="330" t="s">
        <v>429</v>
      </c>
      <c r="P246" s="330"/>
      <c r="Q246" s="330"/>
      <c r="R246" s="3"/>
      <c r="S246" s="3"/>
    </row>
    <row r="247" spans="1:19" s="135" customFormat="1" ht="15" customHeight="1">
      <c r="A247" s="137"/>
      <c r="B247" s="137"/>
      <c r="C247" s="137"/>
      <c r="D247" s="137"/>
      <c r="E247" s="138"/>
      <c r="F247" s="1"/>
      <c r="G247" s="1"/>
      <c r="H247" s="1"/>
      <c r="I247" s="3"/>
      <c r="J247" s="3"/>
      <c r="N247" s="3"/>
      <c r="R247" s="3"/>
      <c r="S247" s="3"/>
    </row>
    <row r="248" spans="1:19" s="135" customFormat="1" ht="15" customHeight="1">
      <c r="A248" s="137" t="s">
        <v>144</v>
      </c>
      <c r="B248" s="137"/>
      <c r="C248" s="137"/>
      <c r="D248" s="137"/>
      <c r="E248" s="138"/>
      <c r="F248" s="1"/>
      <c r="G248" s="1"/>
      <c r="H248" s="1"/>
      <c r="I248" s="137"/>
      <c r="J248" s="137"/>
      <c r="N248" s="3"/>
      <c r="O248" s="137" t="s">
        <v>144</v>
      </c>
      <c r="R248" s="3"/>
      <c r="S248" s="3"/>
    </row>
    <row r="249" spans="1:19" s="135" customFormat="1" ht="15" customHeight="1">
      <c r="A249" s="137" t="s">
        <v>148</v>
      </c>
      <c r="B249" s="137"/>
      <c r="C249" s="137"/>
      <c r="D249" s="137"/>
      <c r="E249" s="138"/>
      <c r="F249" s="1"/>
      <c r="G249" s="1"/>
      <c r="H249" s="1"/>
      <c r="N249" s="3"/>
      <c r="O249" s="135" t="s">
        <v>149</v>
      </c>
      <c r="R249" s="3"/>
      <c r="S249" s="3"/>
    </row>
    <row r="250" spans="1:19" s="135" customFormat="1" ht="12">
      <c r="A250" s="137"/>
      <c r="B250" s="137"/>
      <c r="C250" s="137"/>
      <c r="D250" s="137"/>
      <c r="E250" s="138"/>
      <c r="F250" s="1"/>
      <c r="G250" s="1"/>
      <c r="H250" s="1"/>
      <c r="N250" s="3"/>
      <c r="R250" s="3"/>
      <c r="S250" s="3"/>
    </row>
    <row r="251" spans="1:19" s="135" customFormat="1" ht="12">
      <c r="A251" s="137"/>
      <c r="B251" s="137"/>
      <c r="C251" s="137"/>
      <c r="D251" s="137"/>
      <c r="E251" s="138"/>
      <c r="F251" s="1"/>
      <c r="G251" s="1"/>
      <c r="H251" s="1"/>
      <c r="N251" s="3"/>
      <c r="R251" s="3"/>
      <c r="S251" s="3"/>
    </row>
    <row r="252" spans="1:19" s="135" customFormat="1" ht="12">
      <c r="A252" s="137"/>
      <c r="B252" s="137"/>
      <c r="C252" s="137"/>
      <c r="D252" s="137"/>
      <c r="E252" s="138"/>
      <c r="F252" s="1"/>
      <c r="G252" s="1"/>
      <c r="H252" s="1"/>
      <c r="N252" s="3"/>
      <c r="R252" s="3"/>
      <c r="S252" s="3"/>
    </row>
    <row r="253" spans="1:19" s="135" customFormat="1" ht="12">
      <c r="A253" s="137"/>
      <c r="B253" s="137"/>
      <c r="C253" s="137"/>
      <c r="D253" s="137"/>
      <c r="E253" s="138"/>
      <c r="F253" s="1"/>
      <c r="G253" s="1"/>
      <c r="H253" s="1"/>
      <c r="N253" s="3"/>
      <c r="R253" s="3"/>
      <c r="S253" s="3"/>
    </row>
    <row r="254" spans="1:19" s="135" customFormat="1" ht="12">
      <c r="A254" s="137"/>
      <c r="B254" s="137"/>
      <c r="C254" s="137"/>
      <c r="D254" s="137"/>
      <c r="E254" s="138"/>
      <c r="F254" s="1"/>
      <c r="G254" s="1"/>
      <c r="H254" s="1"/>
      <c r="N254" s="3"/>
      <c r="R254" s="3"/>
      <c r="S254" s="3"/>
    </row>
    <row r="255" spans="1:19" s="135" customFormat="1" ht="12">
      <c r="A255" s="137"/>
      <c r="B255" s="137"/>
      <c r="C255" s="137"/>
      <c r="D255" s="137"/>
      <c r="E255" s="138"/>
      <c r="F255" s="1"/>
      <c r="G255" s="1"/>
      <c r="H255" s="1"/>
      <c r="N255" s="3"/>
      <c r="R255" s="3"/>
      <c r="S255" s="3"/>
    </row>
    <row r="256" spans="1:19" s="135" customFormat="1" ht="12">
      <c r="A256" s="137"/>
      <c r="B256" s="137"/>
      <c r="C256" s="137"/>
      <c r="D256" s="137"/>
      <c r="E256" s="138"/>
      <c r="F256" s="1"/>
      <c r="G256" s="1"/>
      <c r="H256" s="1"/>
      <c r="N256" s="3"/>
      <c r="R256" s="3"/>
      <c r="S256" s="3"/>
    </row>
    <row r="257" spans="1:19" s="135" customFormat="1" ht="12">
      <c r="A257" s="137"/>
      <c r="B257" s="137"/>
      <c r="C257" s="137"/>
      <c r="D257" s="137"/>
      <c r="E257" s="138"/>
      <c r="F257" s="1"/>
      <c r="G257" s="1"/>
      <c r="H257" s="1"/>
      <c r="N257" s="3"/>
      <c r="R257" s="3"/>
      <c r="S257" s="3"/>
    </row>
    <row r="258" spans="1:19" s="135" customFormat="1" ht="12">
      <c r="A258" s="137"/>
      <c r="B258" s="137"/>
      <c r="C258" s="137"/>
      <c r="D258" s="137"/>
      <c r="E258" s="138"/>
      <c r="F258" s="1"/>
      <c r="G258" s="1"/>
      <c r="H258" s="1"/>
      <c r="N258" s="3"/>
      <c r="R258" s="3"/>
      <c r="S258" s="3"/>
    </row>
    <row r="259" spans="1:19" s="135" customFormat="1" ht="12">
      <c r="A259" s="137"/>
      <c r="B259" s="137"/>
      <c r="C259" s="137"/>
      <c r="D259" s="137"/>
      <c r="E259" s="138"/>
      <c r="F259" s="1"/>
      <c r="G259" s="1"/>
      <c r="H259" s="1"/>
      <c r="N259" s="3"/>
      <c r="R259" s="3"/>
      <c r="S259" s="3"/>
    </row>
    <row r="260" spans="1:19" s="135" customFormat="1" ht="12">
      <c r="A260" s="137"/>
      <c r="B260" s="137"/>
      <c r="C260" s="137"/>
      <c r="D260" s="137"/>
      <c r="E260" s="138"/>
      <c r="F260" s="1"/>
      <c r="G260" s="1"/>
      <c r="H260" s="1"/>
      <c r="N260" s="3"/>
      <c r="R260" s="3"/>
      <c r="S260" s="3"/>
    </row>
    <row r="261" spans="1:19" s="135" customFormat="1" ht="12">
      <c r="A261" s="137"/>
      <c r="B261" s="137"/>
      <c r="C261" s="137"/>
      <c r="D261" s="137"/>
      <c r="E261" s="138"/>
      <c r="F261" s="1"/>
      <c r="G261" s="1"/>
      <c r="H261" s="1"/>
      <c r="N261" s="3"/>
      <c r="R261" s="3"/>
      <c r="S261" s="3"/>
    </row>
    <row r="262" spans="1:19" s="135" customFormat="1" ht="12">
      <c r="A262" s="137"/>
      <c r="B262" s="137"/>
      <c r="C262" s="137"/>
      <c r="D262" s="137"/>
      <c r="E262" s="138"/>
      <c r="F262" s="1"/>
      <c r="G262" s="1"/>
      <c r="H262" s="1"/>
      <c r="N262" s="3"/>
      <c r="R262" s="3"/>
      <c r="S262" s="3"/>
    </row>
    <row r="263" spans="1:19" s="135" customFormat="1" ht="12">
      <c r="A263" s="137"/>
      <c r="B263" s="137"/>
      <c r="C263" s="137"/>
      <c r="D263" s="137"/>
      <c r="E263" s="138"/>
      <c r="F263" s="1"/>
      <c r="G263" s="1"/>
      <c r="H263" s="1"/>
      <c r="N263" s="3"/>
      <c r="R263" s="3"/>
      <c r="S263" s="3"/>
    </row>
    <row r="264" spans="1:19" s="135" customFormat="1" ht="12">
      <c r="A264" s="137"/>
      <c r="B264" s="137"/>
      <c r="C264" s="137"/>
      <c r="D264" s="137"/>
      <c r="E264" s="138"/>
      <c r="F264" s="1"/>
      <c r="G264" s="1"/>
      <c r="H264" s="1"/>
      <c r="N264" s="3"/>
      <c r="R264" s="3"/>
      <c r="S264" s="3"/>
    </row>
    <row r="265" spans="1:19" s="135" customFormat="1" ht="12">
      <c r="A265" s="137"/>
      <c r="B265" s="137"/>
      <c r="C265" s="137"/>
      <c r="D265" s="137"/>
      <c r="E265" s="138"/>
      <c r="F265" s="1"/>
      <c r="G265" s="1"/>
      <c r="H265" s="1"/>
      <c r="N265" s="3"/>
      <c r="R265" s="3"/>
      <c r="S265" s="3"/>
    </row>
    <row r="266" spans="1:19" s="135" customFormat="1" ht="12">
      <c r="A266" s="137"/>
      <c r="B266" s="137"/>
      <c r="C266" s="137"/>
      <c r="D266" s="137"/>
      <c r="E266" s="138"/>
      <c r="F266" s="1"/>
      <c r="G266" s="1"/>
      <c r="H266" s="1"/>
      <c r="N266" s="3"/>
      <c r="R266" s="3"/>
      <c r="S266" s="3"/>
    </row>
    <row r="267" spans="1:19" s="135" customFormat="1" ht="12">
      <c r="A267" s="137"/>
      <c r="B267" s="137"/>
      <c r="C267" s="137"/>
      <c r="D267" s="137"/>
      <c r="E267" s="138"/>
      <c r="F267" s="1"/>
      <c r="G267" s="1"/>
      <c r="H267" s="1"/>
      <c r="N267" s="3"/>
      <c r="R267" s="3"/>
      <c r="S267" s="3"/>
    </row>
    <row r="268" spans="1:19" s="135" customFormat="1" ht="12">
      <c r="A268" s="137"/>
      <c r="B268" s="137"/>
      <c r="C268" s="137"/>
      <c r="D268" s="137"/>
      <c r="E268" s="138"/>
      <c r="F268" s="1"/>
      <c r="G268" s="1"/>
      <c r="H268" s="1"/>
      <c r="N268" s="3"/>
      <c r="R268" s="3"/>
      <c r="S268" s="3"/>
    </row>
    <row r="269" spans="1:19" s="135" customFormat="1" ht="12">
      <c r="A269" s="137"/>
      <c r="B269" s="137"/>
      <c r="C269" s="137"/>
      <c r="D269" s="137"/>
      <c r="E269" s="138"/>
      <c r="F269" s="1"/>
      <c r="G269" s="1"/>
      <c r="H269" s="1"/>
      <c r="N269" s="3"/>
      <c r="R269" s="3"/>
      <c r="S269" s="3"/>
    </row>
    <row r="270" spans="1:19" s="135" customFormat="1" ht="12">
      <c r="A270" s="137"/>
      <c r="B270" s="137"/>
      <c r="C270" s="137"/>
      <c r="D270" s="137"/>
      <c r="E270" s="138"/>
      <c r="F270" s="1"/>
      <c r="G270" s="1"/>
      <c r="H270" s="1"/>
      <c r="N270" s="3"/>
      <c r="R270" s="3"/>
      <c r="S270" s="3"/>
    </row>
    <row r="271" spans="1:19" s="135" customFormat="1" ht="12">
      <c r="A271" s="137"/>
      <c r="B271" s="137"/>
      <c r="C271" s="137"/>
      <c r="D271" s="137"/>
      <c r="E271" s="138"/>
      <c r="F271" s="1"/>
      <c r="G271" s="1"/>
      <c r="H271" s="1"/>
      <c r="N271" s="3"/>
      <c r="R271" s="3"/>
      <c r="S271" s="3"/>
    </row>
    <row r="272" spans="1:19" s="135" customFormat="1" ht="12">
      <c r="A272" s="137"/>
      <c r="B272" s="137"/>
      <c r="C272" s="137"/>
      <c r="D272" s="137"/>
      <c r="E272" s="138"/>
      <c r="F272" s="1"/>
      <c r="G272" s="1"/>
      <c r="H272" s="1"/>
      <c r="N272" s="3"/>
      <c r="R272" s="3"/>
      <c r="S272" s="3"/>
    </row>
    <row r="273" spans="1:19" s="135" customFormat="1" ht="12">
      <c r="A273" s="137"/>
      <c r="B273" s="137"/>
      <c r="C273" s="137"/>
      <c r="D273" s="137"/>
      <c r="E273" s="138"/>
      <c r="F273" s="1">
        <f>478077000+81078000</f>
        <v>559155000</v>
      </c>
      <c r="G273" s="1"/>
      <c r="H273" s="1"/>
      <c r="N273" s="3"/>
      <c r="R273" s="3"/>
      <c r="S273" s="3"/>
    </row>
    <row r="274" spans="1:19" s="135" customFormat="1" ht="12">
      <c r="A274" s="137"/>
      <c r="B274" s="137"/>
      <c r="C274" s="137"/>
      <c r="D274" s="137"/>
      <c r="E274" s="138"/>
      <c r="F274" s="1"/>
      <c r="G274" s="1"/>
      <c r="H274" s="1"/>
      <c r="N274" s="3"/>
      <c r="R274" s="3"/>
      <c r="S274" s="3"/>
    </row>
    <row r="275" spans="1:19" s="135" customFormat="1" ht="12">
      <c r="A275" s="137"/>
      <c r="B275" s="137"/>
      <c r="C275" s="137"/>
      <c r="D275" s="137"/>
      <c r="E275" s="138"/>
      <c r="F275" s="1"/>
      <c r="G275" s="1"/>
      <c r="H275" s="1"/>
      <c r="N275" s="3"/>
      <c r="R275" s="3"/>
      <c r="S275" s="3"/>
    </row>
    <row r="276" spans="1:19" s="135" customFormat="1" ht="36">
      <c r="A276" s="137"/>
      <c r="B276" s="137"/>
      <c r="C276" s="137"/>
      <c r="D276" s="137"/>
      <c r="E276" s="138"/>
      <c r="F276" s="2" t="s">
        <v>430</v>
      </c>
      <c r="G276" s="1" t="s">
        <v>431</v>
      </c>
      <c r="H276" s="1" t="s">
        <v>432</v>
      </c>
      <c r="N276" s="3"/>
      <c r="R276" s="3"/>
      <c r="S276" s="3"/>
    </row>
    <row r="277" spans="1:19" s="135" customFormat="1" ht="12">
      <c r="A277" s="137"/>
      <c r="B277" s="137"/>
      <c r="C277" s="137"/>
      <c r="D277" s="137"/>
      <c r="E277" s="184" t="s">
        <v>433</v>
      </c>
      <c r="F277" s="3">
        <f>406564000+76316000</f>
        <v>482880000</v>
      </c>
      <c r="G277" s="3">
        <f>+I35+I37+I38+I39</f>
        <v>482880000</v>
      </c>
      <c r="H277" s="3">
        <f aca="true" t="shared" si="25" ref="H277:H287">+F277-G277</f>
        <v>0</v>
      </c>
      <c r="I277" s="185"/>
      <c r="J277" s="185"/>
      <c r="L277" s="184" t="s">
        <v>433</v>
      </c>
      <c r="M277" s="3"/>
      <c r="N277" s="3">
        <f>406564000+76316000</f>
        <v>482880000</v>
      </c>
      <c r="O277" s="3">
        <f>+O35+O37+O38+O39</f>
        <v>482880000</v>
      </c>
      <c r="P277" s="135">
        <f>+N277-O277</f>
        <v>0</v>
      </c>
      <c r="Q277" s="135">
        <f>+G277-O277</f>
        <v>0</v>
      </c>
      <c r="R277" s="3"/>
      <c r="S277" s="3"/>
    </row>
    <row r="278" spans="5:19" s="1" customFormat="1" ht="12">
      <c r="E278" s="184" t="s">
        <v>434</v>
      </c>
      <c r="F278" s="3">
        <f>10535000+1819000</f>
        <v>12354000</v>
      </c>
      <c r="G278" s="3">
        <f>+I55+I56+I97+I41</f>
        <v>12354000</v>
      </c>
      <c r="H278" s="3">
        <f t="shared" si="25"/>
        <v>0</v>
      </c>
      <c r="I278" s="185"/>
      <c r="J278" s="185"/>
      <c r="K278" s="135"/>
      <c r="L278" s="184" t="s">
        <v>434</v>
      </c>
      <c r="M278" s="3"/>
      <c r="N278" s="3">
        <f>10535000+1819000</f>
        <v>12354000</v>
      </c>
      <c r="O278" s="3">
        <f>+O55+O56+O97+O41</f>
        <v>12354000</v>
      </c>
      <c r="P278" s="135">
        <f aca="true" t="shared" si="26" ref="P278:P285">+N278-O278</f>
        <v>0</v>
      </c>
      <c r="Q278" s="135">
        <f aca="true" t="shared" si="27" ref="Q278:Q285">+G278-O278</f>
        <v>0</v>
      </c>
      <c r="R278" s="3"/>
      <c r="S278" s="3"/>
    </row>
    <row r="279" spans="5:19" s="1" customFormat="1" ht="12">
      <c r="E279" s="184" t="s">
        <v>435</v>
      </c>
      <c r="F279" s="3">
        <f>17756000+150000</f>
        <v>17906000</v>
      </c>
      <c r="G279" s="3">
        <f>+I181</f>
        <v>17906000</v>
      </c>
      <c r="H279" s="3">
        <f t="shared" si="25"/>
        <v>0</v>
      </c>
      <c r="I279" s="185"/>
      <c r="J279" s="185"/>
      <c r="K279" s="135"/>
      <c r="L279" s="184" t="s">
        <v>435</v>
      </c>
      <c r="M279" s="3"/>
      <c r="N279" s="3">
        <f>17756000+100000</f>
        <v>17856000</v>
      </c>
      <c r="O279" s="3">
        <f>+O181</f>
        <v>17856000</v>
      </c>
      <c r="P279" s="135">
        <f t="shared" si="26"/>
        <v>0</v>
      </c>
      <c r="Q279" s="135">
        <f t="shared" si="27"/>
        <v>50000</v>
      </c>
      <c r="R279" s="3"/>
      <c r="S279" s="3"/>
    </row>
    <row r="280" spans="5:19" s="1" customFormat="1" ht="12">
      <c r="E280" s="184" t="s">
        <v>436</v>
      </c>
      <c r="F280" s="3">
        <v>12724943</v>
      </c>
      <c r="G280" s="3">
        <f>+I182</f>
        <v>12724943</v>
      </c>
      <c r="H280" s="3">
        <f t="shared" si="25"/>
        <v>0</v>
      </c>
      <c r="I280" s="185"/>
      <c r="J280" s="185"/>
      <c r="K280" s="135"/>
      <c r="L280" s="184" t="s">
        <v>436</v>
      </c>
      <c r="M280" s="3"/>
      <c r="N280" s="3">
        <v>12724943</v>
      </c>
      <c r="O280" s="3">
        <f>+O182</f>
        <v>12724943</v>
      </c>
      <c r="P280" s="135">
        <f t="shared" si="26"/>
        <v>0</v>
      </c>
      <c r="Q280" s="135">
        <f t="shared" si="27"/>
        <v>0</v>
      </c>
      <c r="R280" s="3"/>
      <c r="S280" s="3"/>
    </row>
    <row r="281" spans="5:19" s="1" customFormat="1" ht="24">
      <c r="E281" s="184" t="s">
        <v>437</v>
      </c>
      <c r="F281" s="3">
        <f>28380000+300000+4716000+150000</f>
        <v>33546000</v>
      </c>
      <c r="G281" s="3">
        <f>+I176+I177+I178+I179+I184</f>
        <v>33546000</v>
      </c>
      <c r="H281" s="3">
        <f t="shared" si="25"/>
        <v>0</v>
      </c>
      <c r="I281" s="185"/>
      <c r="J281" s="185"/>
      <c r="K281" s="135"/>
      <c r="L281" s="184" t="s">
        <v>437</v>
      </c>
      <c r="M281" s="3"/>
      <c r="N281" s="3">
        <f>28380000+200000+2070000+150000</f>
        <v>30800000</v>
      </c>
      <c r="O281" s="3">
        <f>+O176+O177+O178+O179+O184</f>
        <v>30800000</v>
      </c>
      <c r="P281" s="135">
        <f t="shared" si="26"/>
        <v>0</v>
      </c>
      <c r="Q281" s="135">
        <f t="shared" si="27"/>
        <v>2746000</v>
      </c>
      <c r="R281" s="3"/>
      <c r="S281" s="3"/>
    </row>
    <row r="282" spans="5:19" s="1" customFormat="1" ht="12">
      <c r="E282" s="184" t="s">
        <v>438</v>
      </c>
      <c r="F282" s="3">
        <v>23721000</v>
      </c>
      <c r="G282" s="3">
        <f>+I66+I67+I68+I69+I167+I168</f>
        <v>23721000</v>
      </c>
      <c r="H282" s="3">
        <f t="shared" si="25"/>
        <v>0</v>
      </c>
      <c r="I282" s="185"/>
      <c r="J282" s="185"/>
      <c r="K282" s="135"/>
      <c r="L282" s="184" t="s">
        <v>438</v>
      </c>
      <c r="M282" s="3"/>
      <c r="N282" s="3">
        <v>23721000</v>
      </c>
      <c r="O282" s="3">
        <f>+O66+O67+O68+O69+O167+O168</f>
        <v>23721000</v>
      </c>
      <c r="P282" s="135">
        <f t="shared" si="26"/>
        <v>0</v>
      </c>
      <c r="Q282" s="135">
        <f t="shared" si="27"/>
        <v>0</v>
      </c>
      <c r="R282" s="3"/>
      <c r="S282" s="3"/>
    </row>
    <row r="283" spans="5:19" s="1" customFormat="1" ht="18" customHeight="1">
      <c r="E283" s="184" t="s">
        <v>439</v>
      </c>
      <c r="F283" s="3">
        <f>38481000+4128000+1000000</f>
        <v>43609000</v>
      </c>
      <c r="G283" s="3" t="e">
        <f>+I63+I64+I71+I72+I73+I75+I76+I77+I78+I79+I80+I83+I112+I84+I85+I86+I88+I93+I94+I95+I96+#REF!+I100+I102+I104+I108+I115+I120+I123+I124+I128+I131+I132+I133+I134+I135+I136+I137+I138+I139+I142+I143+I145+I146+I147+I148+I149+I150+I152+I153+I154+I155+I156+I159+I160+I161+I163+I165+I169+I170+I171+I173+I185+I187+I188+I194+I195+I196+I197+I198+I199+I200+I201+I202+I203+I211+I193+I126+I208+I191+I106+I189+I215+I105</f>
        <v>#REF!</v>
      </c>
      <c r="H283" s="3" t="e">
        <f t="shared" si="25"/>
        <v>#REF!</v>
      </c>
      <c r="I283" s="185"/>
      <c r="J283" s="185"/>
      <c r="K283" s="135"/>
      <c r="L283" s="184" t="s">
        <v>439</v>
      </c>
      <c r="M283" s="3"/>
      <c r="N283" s="3">
        <f>38481000+4128000+1000000</f>
        <v>43609000</v>
      </c>
      <c r="O283" s="3" t="e">
        <f>+O63+O64+O71+O72+O73+O75+O76+O77+O78+O79+O80+O83+O112+O84+O85+O86+O88+O93+O94+O95+O96+O100+O102+O104+O108+O115+O120+O123+O124+O128+O131+O132+O133+O134+O135+O136+O137+O138+O139+O142+O143+O145+O146+O147+O148+O149+O150+O152+O153+O154+O155+O156+O159+O160+O161+O163+O165+O169+O170+O171+O173+O185+O187+O188+O194+O195+O196+O197+O198+O199+O200+O201+O202+O203+O211+O193+O126+O208+O191+O106+O189+O215+O105+O190+#REF!</f>
        <v>#REF!</v>
      </c>
      <c r="P283" s="135" t="e">
        <f t="shared" si="26"/>
        <v>#REF!</v>
      </c>
      <c r="Q283" s="135" t="e">
        <f t="shared" si="27"/>
        <v>#REF!</v>
      </c>
      <c r="R283" s="3"/>
      <c r="S283" s="3"/>
    </row>
    <row r="284" spans="5:19" s="1" customFormat="1" ht="24">
      <c r="E284" s="184" t="s">
        <v>440</v>
      </c>
      <c r="F284" s="3">
        <f>2346263+1726048.89+5925991.67+118473</f>
        <v>10116776.559999999</v>
      </c>
      <c r="G284" s="3">
        <f>+I49+I50+I58</f>
        <v>10116776.559999999</v>
      </c>
      <c r="H284" s="3">
        <f t="shared" si="25"/>
        <v>0</v>
      </c>
      <c r="I284" s="185"/>
      <c r="J284" s="185"/>
      <c r="K284" s="135"/>
      <c r="L284" s="184" t="s">
        <v>440</v>
      </c>
      <c r="M284" s="3"/>
      <c r="N284" s="3">
        <f>2346263+1726048.89+5925991.67+118473</f>
        <v>10116776.559999999</v>
      </c>
      <c r="O284" s="3">
        <f>+O49+O50+O58</f>
        <v>10116776.559999999</v>
      </c>
      <c r="P284" s="135">
        <f t="shared" si="26"/>
        <v>0</v>
      </c>
      <c r="Q284" s="135">
        <f t="shared" si="27"/>
        <v>0</v>
      </c>
      <c r="R284" s="3"/>
      <c r="S284" s="3"/>
    </row>
    <row r="285" spans="5:19" s="1" customFormat="1" ht="12">
      <c r="E285" s="184" t="s">
        <v>441</v>
      </c>
      <c r="F285" s="3">
        <v>2600000</v>
      </c>
      <c r="G285" s="3">
        <f>+I207</f>
        <v>2600000</v>
      </c>
      <c r="H285" s="3">
        <f t="shared" si="25"/>
        <v>0</v>
      </c>
      <c r="I285" s="185"/>
      <c r="J285" s="185"/>
      <c r="K285" s="135"/>
      <c r="L285" s="184" t="s">
        <v>441</v>
      </c>
      <c r="M285" s="3"/>
      <c r="N285" s="3">
        <v>2600000</v>
      </c>
      <c r="O285" s="3">
        <f>+O207</f>
        <v>2600000</v>
      </c>
      <c r="P285" s="135">
        <f t="shared" si="26"/>
        <v>0</v>
      </c>
      <c r="Q285" s="135">
        <f t="shared" si="27"/>
        <v>0</v>
      </c>
      <c r="R285" s="3"/>
      <c r="S285" s="3"/>
    </row>
    <row r="286" spans="5:19" s="1" customFormat="1" ht="12">
      <c r="E286" s="184" t="s">
        <v>442</v>
      </c>
      <c r="F286" s="3"/>
      <c r="G286" s="3"/>
      <c r="H286" s="3">
        <f t="shared" si="25"/>
        <v>0</v>
      </c>
      <c r="I286" s="185"/>
      <c r="J286" s="185"/>
      <c r="K286" s="135"/>
      <c r="L286" s="184" t="s">
        <v>442</v>
      </c>
      <c r="M286" s="3"/>
      <c r="N286" s="3">
        <v>2911465</v>
      </c>
      <c r="R286" s="3"/>
      <c r="S286" s="3"/>
    </row>
    <row r="287" spans="5:19" s="1" customFormat="1" ht="12">
      <c r="E287" s="2"/>
      <c r="F287" s="3">
        <f>+F277+F278+F279+F280+F281+F282+F283+F284+F285+F286</f>
        <v>639457719.56</v>
      </c>
      <c r="G287" s="3" t="e">
        <f>SUM(G277:G286)</f>
        <v>#REF!</v>
      </c>
      <c r="H287" s="3" t="e">
        <f t="shared" si="25"/>
        <v>#REF!</v>
      </c>
      <c r="I287" s="3"/>
      <c r="J287" s="3"/>
      <c r="L287" s="3"/>
      <c r="M287" s="3"/>
      <c r="N287" s="209">
        <f>+N277+N278+N279+N280+N281+N282+N283+N284+N285+N286</f>
        <v>639573184.56</v>
      </c>
      <c r="R287" s="3"/>
      <c r="S287" s="3"/>
    </row>
    <row r="288" spans="5:19" s="1" customFormat="1" ht="12">
      <c r="E288" s="2"/>
      <c r="F288" s="3"/>
      <c r="G288" s="3"/>
      <c r="H288" s="3"/>
      <c r="N288" s="3"/>
      <c r="R288" s="3"/>
      <c r="S288" s="3"/>
    </row>
    <row r="289" spans="5:19" s="1" customFormat="1" ht="12">
      <c r="E289" s="186"/>
      <c r="F289" s="3">
        <f>525437000+87579000</f>
        <v>613016000</v>
      </c>
      <c r="G289" s="3">
        <f>+F287-I237</f>
        <v>-2911464.769999981</v>
      </c>
      <c r="H289" s="3" t="e">
        <f>+H287-G289</f>
        <v>#REF!</v>
      </c>
      <c r="I289" s="3"/>
      <c r="J289" s="3"/>
      <c r="L289" s="1" t="s">
        <v>462</v>
      </c>
      <c r="N289" s="210">
        <f>+O237-N287</f>
        <v>-0.2200000286102295</v>
      </c>
      <c r="R289" s="3"/>
      <c r="S289" s="3"/>
    </row>
    <row r="290" spans="5:19" s="1" customFormat="1" ht="12">
      <c r="E290" s="2"/>
      <c r="F290" s="3">
        <f>+F287-I237</f>
        <v>-2911464.769999981</v>
      </c>
      <c r="N290" s="3"/>
      <c r="R290" s="3"/>
      <c r="S290" s="3"/>
    </row>
    <row r="291" spans="5:19" s="1" customFormat="1" ht="12">
      <c r="E291" s="2"/>
      <c r="F291" s="3">
        <f>+F287-I22</f>
        <v>1000000</v>
      </c>
      <c r="H291" s="1">
        <f>1726048.89+5925991.67</f>
        <v>7652040.56</v>
      </c>
      <c r="N291" s="3"/>
      <c r="R291" s="3"/>
      <c r="S291" s="3"/>
    </row>
    <row r="292" spans="5:19" s="1" customFormat="1" ht="12">
      <c r="E292" s="2"/>
      <c r="F292" s="2" t="s">
        <v>443</v>
      </c>
      <c r="N292" s="2" t="s">
        <v>443</v>
      </c>
      <c r="R292" s="3"/>
      <c r="S292" s="3"/>
    </row>
    <row r="293" spans="5:19" s="1" customFormat="1" ht="12">
      <c r="E293" s="184" t="s">
        <v>433</v>
      </c>
      <c r="F293" s="185">
        <v>76316000</v>
      </c>
      <c r="L293" s="184" t="s">
        <v>433</v>
      </c>
      <c r="N293" s="185">
        <v>76316000</v>
      </c>
      <c r="R293" s="3"/>
      <c r="S293" s="3"/>
    </row>
    <row r="294" spans="5:19" s="1" customFormat="1" ht="12">
      <c r="E294" s="184" t="s">
        <v>434</v>
      </c>
      <c r="F294" s="185">
        <v>1819000</v>
      </c>
      <c r="G294" s="3">
        <f>+F293+F294</f>
        <v>78135000</v>
      </c>
      <c r="L294" s="184" t="s">
        <v>434</v>
      </c>
      <c r="N294" s="185">
        <v>1819000</v>
      </c>
      <c r="O294" s="3">
        <f>+N293+N294</f>
        <v>78135000</v>
      </c>
      <c r="R294" s="3"/>
      <c r="S294" s="3"/>
    </row>
    <row r="295" spans="5:19" s="1" customFormat="1" ht="12">
      <c r="E295" s="184"/>
      <c r="F295" s="185">
        <v>9444000</v>
      </c>
      <c r="H295" s="3"/>
      <c r="L295" s="184"/>
      <c r="N295" s="185">
        <v>6648000</v>
      </c>
      <c r="R295" s="3"/>
      <c r="S295" s="3"/>
    </row>
    <row r="296" spans="5:19" s="1" customFormat="1" ht="12">
      <c r="E296" s="184" t="s">
        <v>435</v>
      </c>
      <c r="F296" s="185">
        <v>150000</v>
      </c>
      <c r="G296" s="331">
        <f>+F295-F296-F297-F299-F300-F298</f>
        <v>0</v>
      </c>
      <c r="L296" s="184" t="s">
        <v>435</v>
      </c>
      <c r="N296" s="204">
        <v>100000</v>
      </c>
      <c r="O296" s="331">
        <f>+N295-N296-N297-N299-N300-N298</f>
        <v>0</v>
      </c>
      <c r="R296" s="3"/>
      <c r="S296" s="3"/>
    </row>
    <row r="297" spans="5:19" s="1" customFormat="1" ht="12">
      <c r="E297" s="184" t="s">
        <v>444</v>
      </c>
      <c r="F297" s="185">
        <v>300000</v>
      </c>
      <c r="G297" s="331"/>
      <c r="L297" s="184" t="s">
        <v>444</v>
      </c>
      <c r="N297" s="204">
        <v>200000</v>
      </c>
      <c r="O297" s="331"/>
      <c r="R297" s="3"/>
      <c r="S297" s="3"/>
    </row>
    <row r="298" spans="5:19" s="1" customFormat="1" ht="12">
      <c r="E298" s="184" t="s">
        <v>445</v>
      </c>
      <c r="F298" s="185">
        <v>150000</v>
      </c>
      <c r="G298" s="331"/>
      <c r="L298" s="184" t="s">
        <v>445</v>
      </c>
      <c r="N298" s="185">
        <v>150000</v>
      </c>
      <c r="O298" s="331"/>
      <c r="R298" s="3"/>
      <c r="S298" s="3"/>
    </row>
    <row r="299" spans="5:19" s="1" customFormat="1" ht="12">
      <c r="E299" s="184" t="s">
        <v>446</v>
      </c>
      <c r="F299" s="185">
        <f>3200000+1516000</f>
        <v>4716000</v>
      </c>
      <c r="G299" s="331"/>
      <c r="L299" s="184" t="s">
        <v>446</v>
      </c>
      <c r="N299" s="204">
        <f>3200000+1516000-2646000</f>
        <v>2070000</v>
      </c>
      <c r="O299" s="331"/>
      <c r="P299" s="3">
        <f>+F299-N299</f>
        <v>2646000</v>
      </c>
      <c r="R299" s="3"/>
      <c r="S299" s="3"/>
    </row>
    <row r="300" spans="5:19" s="1" customFormat="1" ht="12">
      <c r="E300" s="184" t="s">
        <v>447</v>
      </c>
      <c r="F300" s="185">
        <v>4128000</v>
      </c>
      <c r="G300" s="331"/>
      <c r="L300" s="184" t="s">
        <v>447</v>
      </c>
      <c r="N300" s="185">
        <v>4128000</v>
      </c>
      <c r="O300" s="331"/>
      <c r="R300" s="3"/>
      <c r="S300" s="3"/>
    </row>
    <row r="301" spans="5:19" s="1" customFormat="1" ht="12">
      <c r="E301" s="184" t="s">
        <v>448</v>
      </c>
      <c r="F301" s="185"/>
      <c r="G301" s="187"/>
      <c r="L301" s="184" t="s">
        <v>448</v>
      </c>
      <c r="N301" s="185"/>
      <c r="R301" s="3"/>
      <c r="S301" s="3"/>
    </row>
    <row r="302" spans="5:19" s="1" customFormat="1" ht="12">
      <c r="E302" s="184" t="s">
        <v>449</v>
      </c>
      <c r="F302" s="185"/>
      <c r="G302" s="187"/>
      <c r="L302" s="184" t="s">
        <v>449</v>
      </c>
      <c r="N302" s="185"/>
      <c r="R302" s="3"/>
      <c r="S302" s="3"/>
    </row>
    <row r="303" spans="5:19" s="1" customFormat="1" ht="12">
      <c r="E303" s="2"/>
      <c r="F303" s="185">
        <f>+F293+F294+F295</f>
        <v>87579000</v>
      </c>
      <c r="L303" s="2"/>
      <c r="N303" s="185">
        <f>+N293+N294+N295</f>
        <v>84783000</v>
      </c>
      <c r="R303" s="3"/>
      <c r="S303" s="3"/>
    </row>
    <row r="304" spans="5:19" s="1" customFormat="1" ht="12">
      <c r="E304" s="2"/>
      <c r="F304" s="3">
        <f>+F303+F301+F302</f>
        <v>87579000</v>
      </c>
      <c r="L304" s="2"/>
      <c r="N304" s="3">
        <f>+N303+N301+N302</f>
        <v>84783000</v>
      </c>
      <c r="R304" s="3"/>
      <c r="S304" s="3"/>
    </row>
    <row r="305" spans="5:19" s="1" customFormat="1" ht="12">
      <c r="E305" s="188" t="s">
        <v>450</v>
      </c>
      <c r="F305" s="3">
        <v>282000</v>
      </c>
      <c r="L305" s="188" t="s">
        <v>450</v>
      </c>
      <c r="N305" s="3">
        <v>323000</v>
      </c>
      <c r="R305" s="3"/>
      <c r="S305" s="3"/>
    </row>
    <row r="307" spans="5:19" s="1" customFormat="1" ht="12">
      <c r="E307" s="2"/>
      <c r="F307" s="3">
        <v>75571000</v>
      </c>
      <c r="L307" s="1" t="s">
        <v>461</v>
      </c>
      <c r="N307" s="3">
        <v>84783000</v>
      </c>
      <c r="R307" s="3"/>
      <c r="S307" s="3"/>
    </row>
    <row r="308" spans="5:19" s="1" customFormat="1" ht="12">
      <c r="E308" s="2"/>
      <c r="F308" s="3">
        <v>458195000</v>
      </c>
      <c r="N308" s="3"/>
      <c r="R308" s="3"/>
      <c r="S308" s="3"/>
    </row>
    <row r="309" spans="5:19" s="1" customFormat="1" ht="12">
      <c r="E309" s="2"/>
      <c r="F309" s="3">
        <f>SUM(F307:F308)</f>
        <v>533766000</v>
      </c>
      <c r="N309" s="3"/>
      <c r="R309" s="3"/>
      <c r="S309" s="3"/>
    </row>
    <row r="310" spans="5:19" s="1" customFormat="1" ht="12">
      <c r="E310" s="2"/>
      <c r="F310" s="3">
        <f>+F280</f>
        <v>12724943</v>
      </c>
      <c r="N310" s="3"/>
      <c r="R310" s="3"/>
      <c r="S310" s="3"/>
    </row>
    <row r="311" spans="5:19" s="1" customFormat="1" ht="12">
      <c r="E311" s="2"/>
      <c r="F311" s="3">
        <f>2361189+4894957.54+629178.85+71000</f>
        <v>7956325.39</v>
      </c>
      <c r="N311" s="3"/>
      <c r="R311" s="3"/>
      <c r="S311" s="3"/>
    </row>
    <row r="312" spans="5:19" s="1" customFormat="1" ht="12">
      <c r="E312" s="2"/>
      <c r="F312" s="3">
        <f>1541179.5*2</f>
        <v>3082359</v>
      </c>
      <c r="N312" s="3"/>
      <c r="R312" s="3"/>
      <c r="S312" s="3"/>
    </row>
    <row r="313" spans="5:19" s="1" customFormat="1" ht="12">
      <c r="E313" s="2"/>
      <c r="F313" s="3">
        <f>+F309+F310+F311+F312</f>
        <v>557529627.39</v>
      </c>
      <c r="N313" s="3"/>
      <c r="R313" s="3"/>
      <c r="S313" s="3"/>
    </row>
    <row r="316" spans="5:19" s="1" customFormat="1" ht="12">
      <c r="E316" s="2"/>
      <c r="F316" s="3"/>
      <c r="N316" s="3"/>
      <c r="R316" s="3"/>
      <c r="S316" s="3"/>
    </row>
    <row r="318" spans="5:19" s="1" customFormat="1" ht="12">
      <c r="E318" s="2"/>
      <c r="F318" s="1">
        <f>4936024.1+983573.22</f>
        <v>5919597.319999999</v>
      </c>
      <c r="N318" s="3"/>
      <c r="R318" s="3"/>
      <c r="S318" s="3"/>
    </row>
  </sheetData>
  <sheetProtection selectLockedCells="1" selectUnlockedCells="1"/>
  <mergeCells count="78">
    <mergeCell ref="D221:E221"/>
    <mergeCell ref="A237:E237"/>
    <mergeCell ref="I246:K246"/>
    <mergeCell ref="O246:Q246"/>
    <mergeCell ref="G296:G300"/>
    <mergeCell ref="O296:O300"/>
    <mergeCell ref="D157:E157"/>
    <mergeCell ref="D204:E204"/>
    <mergeCell ref="D206:E206"/>
    <mergeCell ref="D208:E208"/>
    <mergeCell ref="D210:E210"/>
    <mergeCell ref="D217:E217"/>
    <mergeCell ref="D89:E89"/>
    <mergeCell ref="D98:E98"/>
    <mergeCell ref="B104:B106"/>
    <mergeCell ref="D121:E121"/>
    <mergeCell ref="D129:E129"/>
    <mergeCell ref="B131:B139"/>
    <mergeCell ref="D61:E61"/>
    <mergeCell ref="B63:B64"/>
    <mergeCell ref="B66:B69"/>
    <mergeCell ref="B71:B72"/>
    <mergeCell ref="B75:B80"/>
    <mergeCell ref="B83:B86"/>
    <mergeCell ref="A45:A46"/>
    <mergeCell ref="D53:E53"/>
    <mergeCell ref="A54:A55"/>
    <mergeCell ref="B54:B55"/>
    <mergeCell ref="D57:E57"/>
    <mergeCell ref="D60:E60"/>
    <mergeCell ref="A32:E32"/>
    <mergeCell ref="D33:E33"/>
    <mergeCell ref="D34:E34"/>
    <mergeCell ref="D36:E36"/>
    <mergeCell ref="D40:E40"/>
    <mergeCell ref="D43:E43"/>
    <mergeCell ref="L28:Q28"/>
    <mergeCell ref="F29:F30"/>
    <mergeCell ref="G29:I29"/>
    <mergeCell ref="J29:J30"/>
    <mergeCell ref="K29:K30"/>
    <mergeCell ref="L29:L30"/>
    <mergeCell ref="M29:O29"/>
    <mergeCell ref="P29:P30"/>
    <mergeCell ref="Q29:Q30"/>
    <mergeCell ref="A28:A30"/>
    <mergeCell ref="B28:B30"/>
    <mergeCell ref="C28:C30"/>
    <mergeCell ref="D28:D30"/>
    <mergeCell ref="E28:E30"/>
    <mergeCell ref="F28:K28"/>
    <mergeCell ref="D16:E16"/>
    <mergeCell ref="D18:E18"/>
    <mergeCell ref="D20:E20"/>
    <mergeCell ref="D22:E22"/>
    <mergeCell ref="D23:E23"/>
    <mergeCell ref="A24:E24"/>
    <mergeCell ref="D10:E10"/>
    <mergeCell ref="D11:E11"/>
    <mergeCell ref="D13:E13"/>
    <mergeCell ref="A14:A15"/>
    <mergeCell ref="B14:B15"/>
    <mergeCell ref="C14:C15"/>
    <mergeCell ref="L6:Q6"/>
    <mergeCell ref="F7:F8"/>
    <mergeCell ref="G7:I7"/>
    <mergeCell ref="J7:J8"/>
    <mergeCell ref="K7:K8"/>
    <mergeCell ref="L7:L8"/>
    <mergeCell ref="M7:O7"/>
    <mergeCell ref="P7:P8"/>
    <mergeCell ref="Q7:Q8"/>
    <mergeCell ref="A6:A8"/>
    <mergeCell ref="B6:B8"/>
    <mergeCell ref="C6:C8"/>
    <mergeCell ref="D6:D8"/>
    <mergeCell ref="E6:E8"/>
    <mergeCell ref="F6:K6"/>
  </mergeCells>
  <dataValidations count="4">
    <dataValidation type="whole" allowBlank="1" showErrorMessage="1" errorTitle="Upozorenje" error="Niste uneli korektnu vrednost!&#10;Ponovite unos." sqref="N180 H180">
      <formula1>0</formula1>
      <formula2>999999999999</formula2>
    </dataValidation>
    <dataValidation type="whole" allowBlank="1" showErrorMessage="1" errorTitle="Upozorenje" error="Niste uneli korektnu vrednost!&#10;Ponovite unos." sqref="N174 N22:N23 N121:N122 N53 N101 N60:N61 N157:N158 N65 N103 N70 N141 N74 N107 N82 H22:H23 H89:H91 H174 H121:H122 H53 H101 H60:H61 H157:H158 H65 H103 H70 H141 H74 H107 H82 N89:N91">
      <formula1>0</formula1>
      <formula2>999999999</formula2>
    </dataValidation>
    <dataValidation allowBlank="1" showErrorMessage="1" errorTitle="Upozorenje" error="Niste uneli korektnu vrednost!&#10;Ponovite unos." sqref="G6:G8 M88:M91 M102:Q102 M10:M19 M218:Q220 N18 O158:Q158 M21:M23 M29:M30 Q22:Q23 G28:G30 M7:M8 G32 M32 G10:G19 M34:N35 M103 O35:Q35 O103:Q103 M36:M40 M159:Q173 M41:Q42 M104:Q106 M45:M48 M209:Q209 M49:Q52 H18 M53 M107 M54:Q56 O107:Q107 M57 M174:M175 M58:Q59 M108:Q120 M60:M61 O174:Q175 M62:Q64 M121:M122 M210 M65 O65:Q65 O122:Q122 M66:Q69 M176:Q179 M123:Q128 M70 O70:Q70 G21:G23 M71:Q73 M129:M131 M211:Q216 M74 O74:Q74 N130:Q131 M75:Q81 M180 M132:Q139 M82 O82:Q82 O180:Q180 M83:Q87 K22:K23 M140:M141 G88:G91 O88:Q88 O140:Q141 M92:Q97 M181:Q207 M98 M142:Q156 M99:N100 M217 O100:Q101 M157:M158 M101 M208 G234:G236 G102:K102 G218:K220 I158:K158 G34:H35 G103 I35:K35 I103:K103 G36:G40 G159:K173 G41:K42 G104:K106 G45:G48 G209:K209 G49:K52 G53 G107 G54:K56 I107:K107 G57 G174:G175 G58:K59 G108:K120">
      <formula1>0</formula1>
      <formula2>0</formula2>
    </dataValidation>
    <dataValidation allowBlank="1" showErrorMessage="1" errorTitle="Upozorenje" error="Niste uneli korektnu vrednost!&#10;Ponovite unos." sqref="G60:G61 I174:K175 G62:K64 G121:G122 G210 G65 I65:K65 I122:K122 G66:K69 G176:K179 G123:K128 G70 I70:K70 G71:K73 G129:G131 G211:K216 G74 I74:K74 H130:K131 G75:K81 G180 G132:K139 G82 I82:K82 I180:K180 G83:K87 G140:G141 G208 I88:K88 I140:K141 G92:K97 G181:K207 G98 G142:K156 G99:H100 G217 I100:K101 G157:G158 G101 M221:M223 G221:G223 M234:M236 M225:M232 G225:G232">
      <formula1>0</formula1>
      <formula2>0</formula2>
    </dataValidation>
  </dataValidations>
  <printOptions/>
  <pageMargins left="0.2362204724409449" right="0.11811023622047245" top="0.1968503937007874" bottom="0.11811023622047245" header="0.5118110236220472" footer="0.5118110236220472"/>
  <pageSetup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cp:lastPrinted>2020-01-09T12:04:34Z</cp:lastPrinted>
  <dcterms:modified xsi:type="dcterms:W3CDTF">2021-05-25T11:35:44Z</dcterms:modified>
  <cp:category/>
  <cp:version/>
  <cp:contentType/>
  <cp:contentStatus/>
</cp:coreProperties>
</file>