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III rebalans" sheetId="1" r:id="rId1"/>
  </sheets>
  <definedNames>
    <definedName name="Excel_BuiltIn_Print_Titles" localSheetId="0">('III rebalans'!$A:$E,'III rebalans'!$A$38:$HA$41)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15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Q15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K5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  <comment ref="Q5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</commentList>
</comments>
</file>

<file path=xl/sharedStrings.xml><?xml version="1.0" encoding="utf-8"?>
<sst xmlns="http://schemas.openxmlformats.org/spreadsheetml/2006/main" count="537" uniqueCount="484">
  <si>
    <t>ДОМ ЗДРАВЉА "ЧАЧАК" ЧАЧАК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</si>
  <si>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</si>
  <si>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</si>
  <si>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</si>
  <si>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</si>
  <si>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</si>
  <si>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</si>
  <si>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>Износ планираних прихода и примања</t>
  </si>
  <si>
    <t xml:space="preserve">Укупно                       </t>
  </si>
  <si>
    <t>Приходи из буџета</t>
  </si>
  <si>
    <t>Сопствена средства</t>
  </si>
  <si>
    <t>Из донација и помоћи</t>
  </si>
  <si>
    <t>Републике</t>
  </si>
  <si>
    <t>Општине</t>
  </si>
  <si>
    <t>ООСО</t>
  </si>
  <si>
    <t>5=6+7+8+9</t>
  </si>
  <si>
    <t>I</t>
  </si>
  <si>
    <t>740000</t>
  </si>
  <si>
    <t xml:space="preserve">ПРИХОДИ  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</si>
  <si>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</si>
  <si>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</si>
  <si>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</si>
  <si>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Приходи од услуга</t>
  </si>
  <si>
    <t>Приходи од закупа непокретности</t>
  </si>
  <si>
    <t xml:space="preserve">МЕШОВИТИ И НЕОДРЕЂЕНИ ПРИХОДИ </t>
  </si>
  <si>
    <t>Мешовити и неодређени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</si>
  <si>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</si>
  <si>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</si>
  <si>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</si>
  <si>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III</t>
  </si>
  <si>
    <t>ТРАНСФЕРИ ИЗМЕЂУ БУЏЕТСКИХ КОРИСНИКА НА ИСТОМ НИВОУ</t>
  </si>
  <si>
    <t>IV</t>
  </si>
  <si>
    <t>ПРИХОДИ ИЗ БУЏЕТА</t>
  </si>
  <si>
    <t>УКУПНИ ПРИХОДИ И ПРИМАЊА  I+II+III+IV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</si>
  <si>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</si>
  <si>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</si>
  <si>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</si>
  <si>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</si>
  <si>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</si>
  <si>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(1+2+3+4+5+6)</t>
  </si>
  <si>
    <t>I.1.</t>
  </si>
  <si>
    <t xml:space="preserve">ПЛАТЕ, ДОДАЦИ И НАКНАДЕ ЗАПОСЛЕНИХ (ЗАРАДЕ)  </t>
  </si>
  <si>
    <t>I.1.1</t>
  </si>
  <si>
    <t>ПЛАТЕ, ДОДАЦИ И НАКНАДЕ ЗАПОСЛЕНИХ</t>
  </si>
  <si>
    <t>I.2.</t>
  </si>
  <si>
    <t xml:space="preserve">СОЦИЈАЛНИ ДОПРИНОСИ НА ТЕРЕТ ПОСЛОДАВЦА </t>
  </si>
  <si>
    <t>I.2.1</t>
  </si>
  <si>
    <t xml:space="preserve">Допринос за пензијско и инвалидско осигурање </t>
  </si>
  <si>
    <t>I.2.2</t>
  </si>
  <si>
    <t>Допринос за здравствено осигурање</t>
  </si>
  <si>
    <t>I.3.</t>
  </si>
  <si>
    <t>НАКНАДЕ У НАТУРИ</t>
  </si>
  <si>
    <t>I.3.1</t>
  </si>
  <si>
    <t xml:space="preserve">Превоз на посао и са посла </t>
  </si>
  <si>
    <t>I.3.2</t>
  </si>
  <si>
    <t>Поклони за децу запослених</t>
  </si>
  <si>
    <t>1.4.</t>
  </si>
  <si>
    <t xml:space="preserve">СОЦИЈАЛНА ДАВАЊА ЗАПОСЛЕНИМА </t>
  </si>
  <si>
    <t>1.4.1</t>
  </si>
  <si>
    <t>Исплата накнада за време одсуствовања с посла на терет фондова</t>
  </si>
  <si>
    <t>I.4.2</t>
  </si>
  <si>
    <t>Отпремнине и помоћи</t>
  </si>
  <si>
    <t>I.4.3</t>
  </si>
  <si>
    <t>Помоћ у медицинском лечењу запосленог или чланова уже породице и друге помоћи запосленом</t>
  </si>
  <si>
    <t>I.5.</t>
  </si>
  <si>
    <t>I.6.</t>
  </si>
  <si>
    <t>КОРИШЋЕЊЕ УСЛУГА И РОБА (1+2+3+4+5+6)</t>
  </si>
  <si>
    <t xml:space="preserve">СТАЛНИ ТРОШКОВИ </t>
  </si>
  <si>
    <t>II.1.1.</t>
  </si>
  <si>
    <t>II.1.2</t>
  </si>
  <si>
    <t>II.1.3</t>
  </si>
  <si>
    <t>II.1.4</t>
  </si>
  <si>
    <t>II.1.5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</si>
  <si>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</si>
  <si>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</si>
  <si>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</si>
  <si>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</si>
  <si>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</si>
  <si>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</si>
  <si>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Административне услуге</t>
  </si>
  <si>
    <t>II.3.2</t>
  </si>
  <si>
    <t>Компјутерске услуге</t>
  </si>
  <si>
    <t>II.3.3</t>
  </si>
  <si>
    <t xml:space="preserve">Услуге образовања и усавршавања   </t>
  </si>
  <si>
    <t>II.3.4</t>
  </si>
  <si>
    <t>Услуге информисања</t>
  </si>
  <si>
    <t>II.3.5</t>
  </si>
  <si>
    <t xml:space="preserve">Стручне услуге  </t>
  </si>
  <si>
    <t>II.3.6</t>
  </si>
  <si>
    <t>Услуге за домаћинство и угоститељство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</si>
  <si>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</si>
  <si>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</si>
  <si>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</si>
  <si>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</si>
  <si>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</si>
  <si>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</si>
  <si>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</si>
  <si>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II.4.2.</t>
  </si>
  <si>
    <t>Услуге очувања животне средине, науке и геодетске услуге</t>
  </si>
  <si>
    <t>II.4.3.</t>
  </si>
  <si>
    <t>Остале специјализоване услуге</t>
  </si>
  <si>
    <t xml:space="preserve">ТЕКУЋЕ ПОПРАВКЕ И ОДРЖАВАЊЕ </t>
  </si>
  <si>
    <t>II.5.1</t>
  </si>
  <si>
    <t>Текуће поправке и одржавање објеката</t>
  </si>
  <si>
    <t>II.5.2</t>
  </si>
  <si>
    <t>МАТЕРИЈАЛ</t>
  </si>
  <si>
    <t>II.6.1</t>
  </si>
  <si>
    <t>II.6.2</t>
  </si>
  <si>
    <t>Материјали за образовање и усавршавање запослених</t>
  </si>
  <si>
    <t>II.6.3</t>
  </si>
  <si>
    <t>II.6.4</t>
  </si>
  <si>
    <t>Материјали за очување животне средине</t>
  </si>
  <si>
    <t>II.6.5</t>
  </si>
  <si>
    <t>II.6.6</t>
  </si>
  <si>
    <t>II.6.7</t>
  </si>
  <si>
    <t>Материјали за посебне намене</t>
  </si>
  <si>
    <t>ОТПЛАТА КАМАТА И ТЕКУЋИ ТРОШКОВИ ЗАДУЖИВАЊА</t>
  </si>
  <si>
    <t>Казне за кашњење</t>
  </si>
  <si>
    <t>ОСТАЛЕ ДОТАЦИЈЕ И ТРАНСФЕРИ</t>
  </si>
  <si>
    <t>Остале текуће дотације по закону - инвалиди</t>
  </si>
  <si>
    <t>V</t>
  </si>
  <si>
    <t>ДОТАЦИЈЕ ОСТАЛИМ НЕПРОФИТНИМ ИНСТИТУЦИЈАМА</t>
  </si>
  <si>
    <t xml:space="preserve">Дотације осталим непрофитним институцијама </t>
  </si>
  <si>
    <t>VI</t>
  </si>
  <si>
    <t>ПОРЕЗИ, ОБАВЕЗНЕ ТАКСЕ, КАЗНЕ И ПЕНАЛИ</t>
  </si>
  <si>
    <t>VII</t>
  </si>
  <si>
    <t>НОВЧАНЕ КАЗНЕ И ПЕНАЛИ ПО РЕШЕЊУ СУДОВА</t>
  </si>
  <si>
    <t>Новчане казне и пенали по решењу судова</t>
  </si>
  <si>
    <t>VIII</t>
  </si>
  <si>
    <t>510000</t>
  </si>
  <si>
    <t>ОСНОВНА СРЕДСТВА</t>
  </si>
  <si>
    <t>Капитално одржавање</t>
  </si>
  <si>
    <t>Административна опрема</t>
  </si>
  <si>
    <t>Опрема за заштиту животне средине</t>
  </si>
  <si>
    <t>Медицинска опрема</t>
  </si>
  <si>
    <t>УКУПНИ РАСХОДИ И ИЗДАЦИ I+II+III+IV+V+VI+VII+VIII</t>
  </si>
  <si>
    <t>САСТАВИЛА</t>
  </si>
  <si>
    <t>_______________________________</t>
  </si>
  <si>
    <t>Маријана Вранеш</t>
  </si>
  <si>
    <t>шеф рачуноводства</t>
  </si>
  <si>
    <t>др Александар Пајовић</t>
  </si>
  <si>
    <t>781111</t>
  </si>
  <si>
    <t>1.4.1.1</t>
  </si>
  <si>
    <t>Породиљско боловање</t>
  </si>
  <si>
    <t>1.4.1.2</t>
  </si>
  <si>
    <t xml:space="preserve">Боловање преко 30 дана </t>
  </si>
  <si>
    <t>1.4.1.3</t>
  </si>
  <si>
    <t>Инвалидност другог степена</t>
  </si>
  <si>
    <t>I.4.2.1</t>
  </si>
  <si>
    <t>Отпремнине приликом одласка у пензију</t>
  </si>
  <si>
    <t>I.4.2.2</t>
  </si>
  <si>
    <t>Помоћ у случају смрти запосленог или члана уже породице</t>
  </si>
  <si>
    <t>I.4.3.1</t>
  </si>
  <si>
    <t>Помоћ у медицинском лечењу запосленог или члана уже породице</t>
  </si>
  <si>
    <t>I.5.1</t>
  </si>
  <si>
    <t>Накнада трошкова за одвојен живот од породице</t>
  </si>
  <si>
    <t>I.5.2</t>
  </si>
  <si>
    <t>Накнаде трошкова за превоз на посао и са посла</t>
  </si>
  <si>
    <t>I.5.3</t>
  </si>
  <si>
    <t>Накнаде трошкова за превоз на посао и са посла по путном налогу</t>
  </si>
  <si>
    <t>I.6.1</t>
  </si>
  <si>
    <t>Јубиларне награде запосленима</t>
  </si>
  <si>
    <t>I.6.2</t>
  </si>
  <si>
    <t>Накнаде члановима управних и надзорних одбора</t>
  </si>
  <si>
    <t>II.1.1.1</t>
  </si>
  <si>
    <t>Платни промет</t>
  </si>
  <si>
    <t>II.1.1.2</t>
  </si>
  <si>
    <t>Банкарске услуге</t>
  </si>
  <si>
    <t>II.1.2.1</t>
  </si>
  <si>
    <t>Електрична енергија</t>
  </si>
  <si>
    <t>II.1.2.2</t>
  </si>
  <si>
    <t>Природни гас</t>
  </si>
  <si>
    <t>II.1.2.3</t>
  </si>
  <si>
    <t>Лож уље</t>
  </si>
  <si>
    <t>II.1.2.4</t>
  </si>
  <si>
    <t>Централно грејање</t>
  </si>
  <si>
    <t>II.1.3.1</t>
  </si>
  <si>
    <t>Водовод и канализација</t>
  </si>
  <si>
    <t>II.1.3.2</t>
  </si>
  <si>
    <t>Одвоз отпада</t>
  </si>
  <si>
    <t>II.1.3.3</t>
  </si>
  <si>
    <t>Услуге чишћења</t>
  </si>
  <si>
    <t>II.1.4.1</t>
  </si>
  <si>
    <t>Телефон, телекс и телефакс</t>
  </si>
  <si>
    <t>II.1.4.2</t>
  </si>
  <si>
    <t>Радио веза</t>
  </si>
  <si>
    <t>II.1.4.3</t>
  </si>
  <si>
    <t>Интернет и слично</t>
  </si>
  <si>
    <t>II.1.4.4</t>
  </si>
  <si>
    <t>Услуге мобилног телефона</t>
  </si>
  <si>
    <t>II.1.4.5</t>
  </si>
  <si>
    <t>Поштанске услуге</t>
  </si>
  <si>
    <t>II.1.4.6</t>
  </si>
  <si>
    <t>Пошта доплатне марке</t>
  </si>
  <si>
    <t>II.1.4.7</t>
  </si>
  <si>
    <t>Остале услуге комуникација</t>
  </si>
  <si>
    <t>II.1.5.1</t>
  </si>
  <si>
    <t>Осигурање возила</t>
  </si>
  <si>
    <t>II.1.5.2</t>
  </si>
  <si>
    <t>Осигурање опреме</t>
  </si>
  <si>
    <t>II.1.5.3</t>
  </si>
  <si>
    <t>Осигурање имовине</t>
  </si>
  <si>
    <t>II.1.5.4</t>
  </si>
  <si>
    <t>Осигурање запослених у случају несреће</t>
  </si>
  <si>
    <t>II.1.6.1</t>
  </si>
  <si>
    <t>Закуп медицинске и лабораторијске опреме</t>
  </si>
  <si>
    <t>II.2.2.1</t>
  </si>
  <si>
    <t>Дневнице (исхрана) за путовање у оквиру редовног рада</t>
  </si>
  <si>
    <t>II.2.2.2</t>
  </si>
  <si>
    <t>II.2.2.3</t>
  </si>
  <si>
    <t>Трошкови путовања у оквиру редовног рада (по путном налогу)</t>
  </si>
  <si>
    <t>II.2.2.4</t>
  </si>
  <si>
    <t>Трошкови путовања у оквиру редовног рада (путарина)</t>
  </si>
  <si>
    <t>II.2.2.5</t>
  </si>
  <si>
    <t>Трошкови путовања у оквиру редовног рада (замена посла)</t>
  </si>
  <si>
    <t>II.3.1.1</t>
  </si>
  <si>
    <t>Остале административне услуге</t>
  </si>
  <si>
    <t>II.3.2.1</t>
  </si>
  <si>
    <t>Услуге одржавања софтвера</t>
  </si>
  <si>
    <t>II.3.3.1</t>
  </si>
  <si>
    <t>Услуге образовања и усавршавања запослених</t>
  </si>
  <si>
    <t>II.3.3.2</t>
  </si>
  <si>
    <t>Едукација запослених</t>
  </si>
  <si>
    <t>II.3.3.3</t>
  </si>
  <si>
    <t>Котизација за семинаре</t>
  </si>
  <si>
    <t>II.3.4.1</t>
  </si>
  <si>
    <t>Објављивање тендера и информативних огласа</t>
  </si>
  <si>
    <t>II.3.5.1</t>
  </si>
  <si>
    <t>II.3.5.2</t>
  </si>
  <si>
    <t>Остале стручне услуге - волонтери</t>
  </si>
  <si>
    <t>II.3.5.3</t>
  </si>
  <si>
    <t>Остале стручне услуге - надзор</t>
  </si>
  <si>
    <t>II.3.5.4</t>
  </si>
  <si>
    <t>Остале стручне услуге</t>
  </si>
  <si>
    <t>II.3.6.1</t>
  </si>
  <si>
    <t>Услуге прања веша</t>
  </si>
  <si>
    <t>II.3.7.1</t>
  </si>
  <si>
    <t>II.3.7.2</t>
  </si>
  <si>
    <t>Поклони</t>
  </si>
  <si>
    <t>II.3.8.1</t>
  </si>
  <si>
    <t>II.4.1.1</t>
  </si>
  <si>
    <t>Услуге јавног здравства - инспекција и анализа</t>
  </si>
  <si>
    <t>II.4.1.2</t>
  </si>
  <si>
    <t>Остале медицинске услуге</t>
  </si>
  <si>
    <t>II.4.2.1</t>
  </si>
  <si>
    <t>Услуге очувања животне средине</t>
  </si>
  <si>
    <t>II.4.3.1</t>
  </si>
  <si>
    <t>Остале специјализоиване  услуге - медицина рада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</si>
  <si>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</si>
  <si>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</si>
  <si>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</si>
  <si>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</si>
  <si>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</si>
  <si>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</si>
  <si>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</si>
  <si>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</si>
  <si>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</si>
  <si>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</si>
  <si>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</si>
  <si>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</si>
  <si>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</si>
  <si>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</si>
  <si>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</si>
  <si>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</si>
  <si>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</si>
  <si>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II.5.2.1</t>
  </si>
  <si>
    <t>Поправка и одржавање опреме за саобраћај</t>
  </si>
  <si>
    <t>II.5.2.1.1</t>
  </si>
  <si>
    <t>Сервис возила</t>
  </si>
  <si>
    <t>II.5.2.1.2</t>
  </si>
  <si>
    <t>Остале поправке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</si>
  <si>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</si>
  <si>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</si>
  <si>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</si>
  <si>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</si>
  <si>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</si>
  <si>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</si>
  <si>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</si>
  <si>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</si>
  <si>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</si>
  <si>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</si>
  <si>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</si>
  <si>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</si>
  <si>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</si>
  <si>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Сервис уградне опреме</t>
  </si>
  <si>
    <t>II.5.2.4</t>
  </si>
  <si>
    <t>Текуће поправке и одржавање медицинске опреме</t>
  </si>
  <si>
    <t>II.5.2.4.1</t>
  </si>
  <si>
    <t>II.5.2.4.2</t>
  </si>
  <si>
    <t>Сервис стоматолошке опреме</t>
  </si>
  <si>
    <t>II.5.2.4.3</t>
  </si>
  <si>
    <t>Текуће поправке и одржавање лабораторијске опреме</t>
  </si>
  <si>
    <t>II.5.2.4.4</t>
  </si>
  <si>
    <t>Текуће поправке и одржавање мерних и контролних инструмената</t>
  </si>
  <si>
    <t>II.5.2.4.5</t>
  </si>
  <si>
    <t>Текуће поправке и одржавање опреме за јавну бетбедност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</si>
  <si>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</si>
  <si>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</si>
  <si>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</si>
  <si>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</si>
  <si>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</si>
  <si>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</si>
  <si>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</si>
  <si>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Радна униформа</t>
  </si>
  <si>
    <t>II.6.1.5</t>
  </si>
  <si>
    <t>Цвеће и зеленило</t>
  </si>
  <si>
    <t>II.6.2.1</t>
  </si>
  <si>
    <t>Материјали за образовање и усавршавање запослених -стручна литература</t>
  </si>
  <si>
    <t>II.6.3.1</t>
  </si>
  <si>
    <t>Бензин</t>
  </si>
  <si>
    <t>II.6.3.2</t>
  </si>
  <si>
    <t>Дизел гориво</t>
  </si>
  <si>
    <t>II.6.3.3</t>
  </si>
  <si>
    <t>Уља и мазива</t>
  </si>
  <si>
    <t>II.6.3.4</t>
  </si>
  <si>
    <t>Ауто гуме</t>
  </si>
  <si>
    <t>II.6.3.5</t>
  </si>
  <si>
    <t>Ауто делови</t>
  </si>
  <si>
    <t>II.6.4.1</t>
  </si>
  <si>
    <t>Остали материјал за очување животне средине</t>
  </si>
  <si>
    <t>II.6.5.1</t>
  </si>
  <si>
    <t>Материјал за медицинске тестове</t>
  </si>
  <si>
    <t>II.6.5.1.1</t>
  </si>
  <si>
    <t>Санитетски материјал</t>
  </si>
  <si>
    <t>II.6.5.1.2</t>
  </si>
  <si>
    <t>Материјал за дезинфекцију</t>
  </si>
  <si>
    <t>II.6.5.1.3</t>
  </si>
  <si>
    <t>Медицински кисеоник</t>
  </si>
  <si>
    <t>II.6.5.2</t>
  </si>
  <si>
    <t>Материјал за лабораторијске тестове</t>
  </si>
  <si>
    <t>II.6.5.3</t>
  </si>
  <si>
    <t xml:space="preserve">Лекови </t>
  </si>
  <si>
    <t>II.6.5.3.1</t>
  </si>
  <si>
    <t>Лекови у ЗУ</t>
  </si>
  <si>
    <t>II.6.5.3.2</t>
  </si>
  <si>
    <t>Соматулин, Сандостатин</t>
  </si>
  <si>
    <t>II.6.5.4</t>
  </si>
  <si>
    <t>Остали медицински материјали</t>
  </si>
  <si>
    <t>II.6.5.4.1</t>
  </si>
  <si>
    <t>Стоматолошки потрошни материјал</t>
  </si>
  <si>
    <t>II.6.5.4.2</t>
  </si>
  <si>
    <t>Остали санитетски материјал</t>
  </si>
  <si>
    <t>II.6.6.1</t>
  </si>
  <si>
    <t>Средства за оржавање хигијене</t>
  </si>
  <si>
    <t>II.6.6.2</t>
  </si>
  <si>
    <t>Инвентар за одржавање хигијене</t>
  </si>
  <si>
    <t>II.6.6.3</t>
  </si>
  <si>
    <t>Остали материјал за одржавање хигијене</t>
  </si>
  <si>
    <t>II.6.6.4</t>
  </si>
  <si>
    <t>Текстилни материјал</t>
  </si>
  <si>
    <t>II.6.7.1</t>
  </si>
  <si>
    <t>Електро материјал</t>
  </si>
  <si>
    <t>II.6.7.2</t>
  </si>
  <si>
    <t>Водоводни материјал</t>
  </si>
  <si>
    <t>II.6.7.3</t>
  </si>
  <si>
    <t>Браварско лимарски материјал</t>
  </si>
  <si>
    <t>II.6.7.4</t>
  </si>
  <si>
    <t>Материјал за котларницу</t>
  </si>
  <si>
    <t>II.6.7.5</t>
  </si>
  <si>
    <t>Молерски материјал</t>
  </si>
  <si>
    <t>II.6.7.6</t>
  </si>
  <si>
    <t>Остали технички материјал</t>
  </si>
  <si>
    <t>II.6.7.7</t>
  </si>
  <si>
    <t>Пропан бутан у боцама и течни азот</t>
  </si>
  <si>
    <t>II.6.7.8</t>
  </si>
  <si>
    <t>Резервни делови</t>
  </si>
  <si>
    <t>II.6.7.9</t>
  </si>
  <si>
    <t>Остали резервни делови</t>
  </si>
  <si>
    <t>II.6.7.10</t>
  </si>
  <si>
    <t>Резервни делови за медицинску опрему</t>
  </si>
  <si>
    <t>II.6.7.11</t>
  </si>
  <si>
    <t>Со за путеве</t>
  </si>
  <si>
    <t>IV.1</t>
  </si>
  <si>
    <t>V.1.</t>
  </si>
  <si>
    <t>VI.1.1</t>
  </si>
  <si>
    <t>Регистрација возила</t>
  </si>
  <si>
    <t>VI.1.2</t>
  </si>
  <si>
    <t>Порез на добит правних лица</t>
  </si>
  <si>
    <t>VI.1.3</t>
  </si>
  <si>
    <t>Републичке таксе</t>
  </si>
  <si>
    <t>VI.1.4</t>
  </si>
  <si>
    <t>Судске таксе</t>
  </si>
  <si>
    <t>VI.1.5</t>
  </si>
  <si>
    <t>Општинске таксе</t>
  </si>
  <si>
    <t>VI.1.6</t>
  </si>
  <si>
    <t>Републичке казне</t>
  </si>
  <si>
    <t>VII.1.</t>
  </si>
  <si>
    <t>VII.2.</t>
  </si>
  <si>
    <t>Новчане казне и пенали по решењу судова ВАНСУДСКО ПОРАВНАЊЕ</t>
  </si>
  <si>
    <t>VII.3.</t>
  </si>
  <si>
    <t>Новчане казне и пенали по решењу судова КАМАТЕ</t>
  </si>
  <si>
    <t>VIII.1</t>
  </si>
  <si>
    <t>VIII.1.1</t>
  </si>
  <si>
    <t>VIII.1.2</t>
  </si>
  <si>
    <t>VIII.1.3</t>
  </si>
  <si>
    <t>Мерни и контролни инструменти</t>
  </si>
  <si>
    <t xml:space="preserve">Опрема за домаћинство  </t>
  </si>
  <si>
    <t xml:space="preserve"> ДИРЕКТОР</t>
  </si>
  <si>
    <t>prevoz</t>
  </si>
  <si>
    <t>sandostatin</t>
  </si>
  <si>
    <t>energenti</t>
  </si>
  <si>
    <t>OMT+štete</t>
  </si>
  <si>
    <t>инвалиди</t>
  </si>
  <si>
    <t>стоматологија</t>
  </si>
  <si>
    <t>san.mat</t>
  </si>
  <si>
    <t>дезинфекција</t>
  </si>
  <si>
    <t>stom potr</t>
  </si>
  <si>
    <t>jub i otpr</t>
  </si>
  <si>
    <t>inv</t>
  </si>
  <si>
    <t>participacija</t>
  </si>
  <si>
    <t>II.2.2</t>
  </si>
  <si>
    <t>Трошкови смештаја на службеном путу</t>
  </si>
  <si>
    <t>Остали материјали за домаћинство</t>
  </si>
  <si>
    <t>ugovor</t>
  </si>
  <si>
    <t>Медицинска и лабораторијска опрема</t>
  </si>
  <si>
    <t>prih</t>
  </si>
  <si>
    <t>Одвоз опасног отпада</t>
  </si>
  <si>
    <t>II.1.3.4</t>
  </si>
  <si>
    <t>II.1.6.2</t>
  </si>
  <si>
    <t>Закуп простора</t>
  </si>
  <si>
    <t>Казне по решењу правосудних органа - КАМАТА</t>
  </si>
  <si>
    <t>II.6.6.5</t>
  </si>
  <si>
    <t>Електронска опрема</t>
  </si>
  <si>
    <t>Остали порези</t>
  </si>
  <si>
    <t>Обавезне таксе</t>
  </si>
  <si>
    <t>Трошкови платног промета и банкарске услуге</t>
  </si>
  <si>
    <t>Енергетске услуге</t>
  </si>
  <si>
    <t>Комуналне услуге</t>
  </si>
  <si>
    <t>Услуге комуникације</t>
  </si>
  <si>
    <t>Трошкови осигурања</t>
  </si>
  <si>
    <t>Закуп имовине иопреме</t>
  </si>
  <si>
    <t>Накнаде трошкова за запослене</t>
  </si>
  <si>
    <t xml:space="preserve">Награде запосленима и остали посебни расходи </t>
  </si>
  <si>
    <t>Текуће поправке и одржавање опреме</t>
  </si>
  <si>
    <t>Административни материјал</t>
  </si>
  <si>
    <t>Материјали за саобраћај</t>
  </si>
  <si>
    <t>Медицински и лабораторијски материјали</t>
  </si>
  <si>
    <t>Материјали за одржавање хигијене и угоститељство</t>
  </si>
  <si>
    <t>ubaciti 414419</t>
  </si>
  <si>
    <t>11=12+13+14+15+16</t>
  </si>
  <si>
    <t>UBACITI POATE MINISTARSTVO</t>
  </si>
  <si>
    <t>pOate</t>
  </si>
  <si>
    <t>OeNovi</t>
  </si>
  <si>
    <t>boOovanje,</t>
  </si>
  <si>
    <t>razOika</t>
  </si>
  <si>
    <t>RFZO</t>
  </si>
  <si>
    <t>SOPSTVENA</t>
  </si>
  <si>
    <t>741400</t>
  </si>
  <si>
    <t>Лабораторијска опрема</t>
  </si>
  <si>
    <t>muz</t>
  </si>
  <si>
    <t>fizičko</t>
  </si>
  <si>
    <t>fizika</t>
  </si>
  <si>
    <t>hemija</t>
  </si>
  <si>
    <t>nem</t>
  </si>
  <si>
    <t>srp</t>
  </si>
  <si>
    <t>eng</t>
  </si>
  <si>
    <t>ist</t>
  </si>
  <si>
    <t>geo</t>
  </si>
  <si>
    <t>bio</t>
  </si>
  <si>
    <t>mat</t>
  </si>
  <si>
    <t>inf</t>
  </si>
  <si>
    <t>oto</t>
  </si>
  <si>
    <t>lik</t>
  </si>
  <si>
    <t>vlad</t>
  </si>
  <si>
    <t>Износ планираних прихода и примања III ребаланс</t>
  </si>
  <si>
    <t>Износ планираних расхода и издатака  III ребаланс</t>
  </si>
  <si>
    <t xml:space="preserve">ТРЕЋИ РЕБАЛАНС ФИНАНСИЈСКОГ ПЛАНА ЗА 2020. ГОДИНУ </t>
  </si>
  <si>
    <t>ТЕКУЋИ ДОБРОВОЉНИ ТРАНСФЕРИ ОД ФИЗИЧКИХ И ПРАВНИХ ЛИЦА</t>
  </si>
  <si>
    <t>Текући добровољни трансфери од физичких и правних лица</t>
  </si>
  <si>
    <t>san.mat+лab+stom</t>
  </si>
  <si>
    <t>energenti ugovor+ dug по коначном 2019 +паре на тр</t>
  </si>
  <si>
    <t>san.mat+лab+stom+ дуг по коначном</t>
  </si>
  <si>
    <t>Лekovi i refundacije od omt минус аванс из 2019</t>
  </si>
  <si>
    <t>pOate+дуг из 2019</t>
  </si>
  <si>
    <t>prevozминус аванс из 2019</t>
  </si>
  <si>
    <t>лекови</t>
  </si>
  <si>
    <t>омт</t>
  </si>
  <si>
    <t>омт +паре на тр-аванс из 2019</t>
  </si>
  <si>
    <t>prevozминус аванс из 2019+ cov prevoz</t>
  </si>
  <si>
    <t>pOate+дуг из 2019+ cov  plata+06x,06y+05x</t>
  </si>
  <si>
    <t>otpr+jubiO+pomoć+pom u sl smrti</t>
  </si>
  <si>
    <t>Остале помоћи ПКУ</t>
  </si>
  <si>
    <t>OMT+стом омт+štete+дуг po коначном 2019 što + паре на тр</t>
  </si>
  <si>
    <t>otpr+jubiO+pomoć+пакетићиу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</si>
</sst>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  <numFmt numFmtId="165" formatCode="#,##0.00000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sz val="9"/>
      <color indexed="10"/>
      <name val="Cambria"/>
      <family val="1"/>
    </font>
    <font>
      <b/>
      <sz val="11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sz val="25"/>
      <color indexed="8"/>
      <name val="Cambria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sz val="7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164" fontId="8" fillId="0" borderId="12" xfId="55" applyNumberFormat="1" applyFont="1" applyFill="1" applyBorder="1" applyAlignment="1">
      <alignment horizontal="right" vertical="center" wrapText="1"/>
      <protection/>
    </xf>
    <xf numFmtId="3" fontId="8" fillId="0" borderId="12" xfId="55" applyNumberFormat="1" applyFont="1" applyFill="1" applyBorder="1" applyAlignment="1">
      <alignment horizontal="right" vertical="center" wrapText="1"/>
      <protection/>
    </xf>
    <xf numFmtId="164" fontId="8" fillId="0" borderId="13" xfId="55" applyNumberFormat="1" applyFont="1" applyFill="1" applyBorder="1" applyAlignment="1">
      <alignment horizontal="right" vertical="center" wrapText="1"/>
      <protection/>
    </xf>
    <xf numFmtId="3" fontId="8" fillId="0" borderId="13" xfId="55" applyNumberFormat="1" applyFont="1" applyFill="1" applyBorder="1" applyAlignment="1">
      <alignment horizontal="right" vertical="center" wrapText="1"/>
      <protection/>
    </xf>
    <xf numFmtId="164" fontId="8" fillId="0" borderId="10" xfId="55" applyNumberFormat="1" applyFont="1" applyFill="1" applyBorder="1" applyAlignment="1">
      <alignment horizontal="right" vertical="center" wrapText="1"/>
      <protection/>
    </xf>
    <xf numFmtId="164" fontId="8" fillId="0" borderId="10" xfId="0" applyNumberFormat="1" applyFont="1" applyFill="1" applyBorder="1" applyAlignment="1">
      <alignment horizontal="right" vertical="center" wrapText="1"/>
    </xf>
    <xf numFmtId="3" fontId="9" fillId="0" borderId="10" xfId="55" applyNumberFormat="1" applyFont="1" applyFill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164" fontId="9" fillId="0" borderId="10" xfId="55" applyNumberFormat="1" applyFont="1" applyFill="1" applyBorder="1" applyAlignment="1">
      <alignment horizontal="right" vertical="center" wrapText="1"/>
      <protection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11" xfId="55" applyNumberFormat="1" applyFont="1" applyFill="1" applyBorder="1" applyAlignment="1">
      <alignment horizontal="right" vertical="center" wrapText="1"/>
      <protection/>
    </xf>
    <xf numFmtId="164" fontId="9" fillId="0" borderId="11" xfId="0" applyNumberFormat="1" applyFont="1" applyFill="1" applyBorder="1" applyAlignment="1">
      <alignment horizontal="right" vertical="center" wrapText="1"/>
    </xf>
    <xf numFmtId="3" fontId="9" fillId="0" borderId="11" xfId="55" applyNumberFormat="1" applyFont="1" applyFill="1" applyBorder="1" applyAlignment="1">
      <alignment horizontal="right" vertical="center" wrapText="1"/>
      <protection/>
    </xf>
    <xf numFmtId="164" fontId="9" fillId="0" borderId="13" xfId="55" applyNumberFormat="1" applyFont="1" applyFill="1" applyBorder="1" applyAlignment="1">
      <alignment horizontal="right" vertical="center" wrapText="1"/>
      <protection/>
    </xf>
    <xf numFmtId="164" fontId="9" fillId="0" borderId="13" xfId="0" applyNumberFormat="1" applyFont="1" applyFill="1" applyBorder="1" applyAlignment="1">
      <alignment horizontal="right" vertical="center" wrapText="1"/>
    </xf>
    <xf numFmtId="3" fontId="9" fillId="0" borderId="13" xfId="55" applyNumberFormat="1" applyFont="1" applyFill="1" applyBorder="1" applyAlignment="1">
      <alignment horizontal="right" vertical="center" wrapText="1"/>
      <protection/>
    </xf>
    <xf numFmtId="3" fontId="5" fillId="0" borderId="13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55" applyFont="1" applyFill="1" applyAlignment="1">
      <alignment horizontal="left" vertical="center"/>
      <protection/>
    </xf>
    <xf numFmtId="3" fontId="8" fillId="0" borderId="13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55" applyNumberFormat="1" applyFont="1" applyFill="1" applyBorder="1" applyAlignment="1">
      <alignment horizontal="right" vertical="center" wrapText="1"/>
      <protection/>
    </xf>
    <xf numFmtId="3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3" fontId="3" fillId="0" borderId="0" xfId="55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5" applyFont="1" applyFill="1" applyBorder="1" applyAlignment="1">
      <alignment horizontal="right" vertical="center" wrapText="1"/>
      <protection/>
    </xf>
    <xf numFmtId="3" fontId="4" fillId="0" borderId="0" xfId="55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164" fontId="8" fillId="0" borderId="0" xfId="55" applyNumberFormat="1" applyFont="1" applyFill="1" applyBorder="1" applyAlignment="1">
      <alignment horizontal="right" vertical="center" wrapText="1"/>
      <protection/>
    </xf>
    <xf numFmtId="164" fontId="9" fillId="0" borderId="0" xfId="55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 vertical="center"/>
    </xf>
    <xf numFmtId="3" fontId="8" fillId="0" borderId="0" xfId="55" applyNumberFormat="1" applyFont="1" applyFill="1" applyBorder="1" applyAlignment="1">
      <alignment horizontal="right" vertical="center" wrapText="1"/>
      <protection/>
    </xf>
    <xf numFmtId="3" fontId="8" fillId="0" borderId="0" xfId="55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>
      <alignment vertical="center"/>
    </xf>
    <xf numFmtId="3" fontId="9" fillId="0" borderId="0" xfId="55" applyNumberFormat="1" applyFont="1" applyFill="1" applyBorder="1" applyAlignment="1">
      <alignment horizontal="right" vertical="center" wrapText="1"/>
      <protection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4" fontId="5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4" fillId="0" borderId="0" xfId="55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 horizontal="center" vertical="center"/>
    </xf>
    <xf numFmtId="0" fontId="17" fillId="0" borderId="0" xfId="55" applyFont="1" applyFill="1" applyAlignment="1">
      <alignment vertical="center"/>
      <protection/>
    </xf>
    <xf numFmtId="49" fontId="8" fillId="0" borderId="17" xfId="55" applyNumberFormat="1" applyFont="1" applyFill="1" applyBorder="1" applyAlignment="1" applyProtection="1">
      <alignment horizontal="center" vertical="center" wrapText="1"/>
      <protection/>
    </xf>
    <xf numFmtId="49" fontId="9" fillId="0" borderId="17" xfId="55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center" vertical="center"/>
      <protection/>
    </xf>
    <xf numFmtId="49" fontId="8" fillId="0" borderId="12" xfId="55" applyNumberFormat="1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49" fontId="8" fillId="0" borderId="13" xfId="55" applyNumberFormat="1" applyFont="1" applyFill="1" applyBorder="1" applyAlignment="1">
      <alignment horizontal="center" vertical="center"/>
      <protection/>
    </xf>
    <xf numFmtId="49" fontId="8" fillId="0" borderId="17" xfId="55" applyNumberFormat="1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8" fillId="0" borderId="18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left" vertical="center" wrapText="1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left" vertical="center" wrapText="1"/>
      <protection/>
    </xf>
    <xf numFmtId="0" fontId="8" fillId="0" borderId="19" xfId="55" applyFont="1" applyFill="1" applyBorder="1" applyAlignment="1">
      <alignment horizontal="center" vertical="center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vertical="center" wrapText="1"/>
      <protection/>
    </xf>
    <xf numFmtId="0" fontId="9" fillId="0" borderId="11" xfId="55" applyFont="1" applyFill="1" applyBorder="1" applyAlignment="1">
      <alignment vertical="center"/>
      <protection/>
    </xf>
    <xf numFmtId="0" fontId="9" fillId="0" borderId="22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8" fillId="0" borderId="22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9" fillId="0" borderId="15" xfId="55" applyFont="1" applyFill="1" applyBorder="1" applyAlignment="1" applyProtection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49" fontId="8" fillId="0" borderId="24" xfId="55" applyNumberFormat="1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8" fillId="0" borderId="25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>
      <alignment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vertical="center" wrapText="1"/>
    </xf>
    <xf numFmtId="0" fontId="8" fillId="0" borderId="26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 applyProtection="1">
      <alignment vertical="center" wrapText="1"/>
      <protection/>
    </xf>
    <xf numFmtId="0" fontId="9" fillId="0" borderId="26" xfId="55" applyFont="1" applyFill="1" applyBorder="1" applyAlignment="1">
      <alignment vertical="center"/>
      <protection/>
    </xf>
    <xf numFmtId="0" fontId="9" fillId="0" borderId="27" xfId="55" applyFont="1" applyFill="1" applyBorder="1" applyAlignment="1" applyProtection="1">
      <alignment horizontal="center"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vertical="center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vertical="center"/>
      <protection/>
    </xf>
    <xf numFmtId="0" fontId="8" fillId="0" borderId="18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>
      <alignment vertical="center"/>
      <protection/>
    </xf>
    <xf numFmtId="49" fontId="8" fillId="0" borderId="26" xfId="55" applyNumberFormat="1" applyFont="1" applyFill="1" applyBorder="1" applyAlignment="1" applyProtection="1">
      <alignment horizontal="center" vertical="center" wrapText="1"/>
      <protection/>
    </xf>
    <xf numFmtId="49" fontId="9" fillId="0" borderId="22" xfId="55" applyNumberFormat="1" applyFont="1" applyFill="1" applyBorder="1" applyAlignment="1" applyProtection="1">
      <alignment horizontal="center" vertical="center" wrapText="1"/>
      <protection/>
    </xf>
    <xf numFmtId="0" fontId="19" fillId="0" borderId="25" xfId="55" applyFont="1" applyFill="1" applyBorder="1" applyAlignment="1">
      <alignment vertical="center"/>
      <protection/>
    </xf>
    <xf numFmtId="49" fontId="8" fillId="0" borderId="28" xfId="55" applyNumberFormat="1" applyFont="1" applyFill="1" applyBorder="1" applyAlignment="1" applyProtection="1">
      <alignment horizontal="center" vertical="center" wrapText="1"/>
      <protection/>
    </xf>
    <xf numFmtId="49" fontId="9" fillId="0" borderId="24" xfId="55" applyNumberFormat="1" applyFont="1" applyFill="1" applyBorder="1" applyAlignment="1">
      <alignment horizontal="center" vertical="center" wrapText="1"/>
      <protection/>
    </xf>
    <xf numFmtId="0" fontId="9" fillId="0" borderId="29" xfId="55" applyFont="1" applyFill="1" applyBorder="1" applyAlignment="1">
      <alignment vertical="center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horizontal="left" vertical="center" wrapText="1"/>
      <protection/>
    </xf>
    <xf numFmtId="0" fontId="9" fillId="0" borderId="15" xfId="55" applyFont="1" applyFill="1" applyBorder="1" applyAlignment="1" applyProtection="1">
      <alignment vertical="center" wrapText="1"/>
      <protection/>
    </xf>
    <xf numFmtId="49" fontId="8" fillId="0" borderId="10" xfId="55" applyNumberFormat="1" applyFont="1" applyFill="1" applyBorder="1" applyAlignment="1" applyProtection="1">
      <alignment horizontal="center" vertical="center" wrapText="1"/>
      <protection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49" fontId="9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>
      <alignment vertical="center"/>
      <protection/>
    </xf>
    <xf numFmtId="49" fontId="8" fillId="0" borderId="22" xfId="55" applyNumberFormat="1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vertical="center" wrapText="1"/>
      <protection/>
    </xf>
    <xf numFmtId="0" fontId="9" fillId="0" borderId="20" xfId="55" applyFont="1" applyFill="1" applyBorder="1" applyAlignment="1">
      <alignment vertical="center"/>
      <protection/>
    </xf>
    <xf numFmtId="0" fontId="9" fillId="0" borderId="16" xfId="55" applyFont="1" applyFill="1" applyBorder="1" applyAlignment="1" applyProtection="1">
      <alignment vertical="center" wrapText="1"/>
      <protection/>
    </xf>
    <xf numFmtId="49" fontId="9" fillId="0" borderId="27" xfId="55" applyNumberFormat="1" applyFont="1" applyFill="1" applyBorder="1" applyAlignment="1" applyProtection="1">
      <alignment horizontal="center" vertical="center" wrapText="1"/>
      <protection/>
    </xf>
    <xf numFmtId="49" fontId="8" fillId="0" borderId="27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49" fontId="8" fillId="0" borderId="15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vertical="center"/>
    </xf>
    <xf numFmtId="49" fontId="8" fillId="0" borderId="18" xfId="55" applyNumberFormat="1" applyFont="1" applyFill="1" applyBorder="1" applyAlignment="1" applyProtection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9" fillId="0" borderId="17" xfId="55" applyFont="1" applyFill="1" applyBorder="1" applyAlignment="1" applyProtection="1">
      <alignment vertical="center" wrapText="1"/>
      <protection/>
    </xf>
    <xf numFmtId="49" fontId="9" fillId="0" borderId="26" xfId="55" applyNumberFormat="1" applyFont="1" applyFill="1" applyBorder="1" applyAlignment="1" applyProtection="1">
      <alignment horizontal="center" vertical="center" wrapText="1"/>
      <protection/>
    </xf>
    <xf numFmtId="0" fontId="9" fillId="0" borderId="30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9" fillId="0" borderId="22" xfId="55" applyFont="1" applyFill="1" applyBorder="1" applyAlignment="1">
      <alignment vertical="center"/>
      <protection/>
    </xf>
    <xf numFmtId="49" fontId="8" fillId="0" borderId="13" xfId="55" applyNumberFormat="1" applyFont="1" applyFill="1" applyBorder="1" applyAlignment="1" applyProtection="1">
      <alignment horizontal="center" vertical="center" wrapText="1"/>
      <protection/>
    </xf>
    <xf numFmtId="49" fontId="8" fillId="0" borderId="27" xfId="55" applyNumberFormat="1" applyFont="1" applyFill="1" applyBorder="1" applyAlignment="1" applyProtection="1">
      <alignment vertical="center" wrapText="1"/>
      <protection/>
    </xf>
    <xf numFmtId="49" fontId="8" fillId="0" borderId="15" xfId="55" applyNumberFormat="1" applyFont="1" applyFill="1" applyBorder="1" applyAlignment="1" applyProtection="1">
      <alignment vertical="center" wrapText="1"/>
      <protection/>
    </xf>
    <xf numFmtId="49" fontId="8" fillId="0" borderId="23" xfId="55" applyNumberFormat="1" applyFont="1" applyFill="1" applyBorder="1" applyAlignment="1" applyProtection="1">
      <alignment vertical="center" wrapText="1"/>
      <protection/>
    </xf>
    <xf numFmtId="49" fontId="8" fillId="0" borderId="11" xfId="55" applyNumberFormat="1" applyFont="1" applyFill="1" applyBorder="1" applyAlignment="1" applyProtection="1">
      <alignment vertical="center" wrapText="1"/>
      <protection/>
    </xf>
    <xf numFmtId="49" fontId="8" fillId="0" borderId="13" xfId="55" applyNumberFormat="1" applyFont="1" applyFill="1" applyBorder="1" applyAlignment="1" applyProtection="1">
      <alignment vertical="center" wrapText="1"/>
      <protection/>
    </xf>
    <xf numFmtId="0" fontId="9" fillId="0" borderId="10" xfId="55" applyFont="1" applyFill="1" applyBorder="1" applyAlignment="1">
      <alignment vertical="center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vertical="center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49" fontId="9" fillId="0" borderId="25" xfId="55" applyNumberFormat="1" applyFont="1" applyFill="1" applyBorder="1" applyAlignment="1" applyProtection="1">
      <alignment horizontal="center" vertical="center" wrapText="1"/>
      <protection/>
    </xf>
    <xf numFmtId="0" fontId="9" fillId="0" borderId="25" xfId="55" applyFont="1" applyFill="1" applyBorder="1" applyAlignment="1">
      <alignment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8" fillId="0" borderId="25" xfId="55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49" fontId="9" fillId="0" borderId="13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>
      <alignment vertical="center" wrapText="1"/>
      <protection/>
    </xf>
    <xf numFmtId="49" fontId="8" fillId="0" borderId="12" xfId="55" applyNumberFormat="1" applyFont="1" applyFill="1" applyBorder="1" applyAlignment="1" applyProtection="1">
      <alignment horizontal="center" vertical="center" wrapText="1"/>
      <protection/>
    </xf>
    <xf numFmtId="49" fontId="8" fillId="0" borderId="21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7" fillId="0" borderId="26" xfId="55" applyFont="1" applyFill="1" applyBorder="1" applyAlignment="1">
      <alignment horizontal="center" vertical="center" wrapText="1"/>
      <protection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1" fillId="0" borderId="32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Alignment="1">
      <alignment vertical="center"/>
    </xf>
    <xf numFmtId="3" fontId="2" fillId="35" borderId="0" xfId="0" applyNumberFormat="1" applyFont="1" applyFill="1" applyAlignment="1">
      <alignment vertical="center"/>
    </xf>
    <xf numFmtId="3" fontId="21" fillId="35" borderId="0" xfId="0" applyNumberFormat="1" applyFont="1" applyFill="1" applyAlignment="1">
      <alignment vertical="center"/>
    </xf>
    <xf numFmtId="3" fontId="13" fillId="35" borderId="0" xfId="0" applyNumberFormat="1" applyFont="1" applyFill="1" applyAlignment="1">
      <alignment vertical="center"/>
    </xf>
    <xf numFmtId="3" fontId="4" fillId="35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0" fontId="9" fillId="36" borderId="10" xfId="55" applyFont="1" applyFill="1" applyBorder="1" applyAlignment="1">
      <alignment horizontal="center" vertical="center" wrapText="1"/>
      <protection/>
    </xf>
    <xf numFmtId="0" fontId="9" fillId="36" borderId="18" xfId="55" applyFont="1" applyFill="1" applyBorder="1" applyAlignment="1">
      <alignment horizontal="center" vertical="center" wrapText="1"/>
      <protection/>
    </xf>
    <xf numFmtId="0" fontId="9" fillId="36" borderId="18" xfId="55" applyFont="1" applyFill="1" applyBorder="1" applyAlignment="1">
      <alignment vertical="center" wrapText="1"/>
      <protection/>
    </xf>
    <xf numFmtId="164" fontId="9" fillId="36" borderId="10" xfId="55" applyNumberFormat="1" applyFont="1" applyFill="1" applyBorder="1" applyAlignment="1">
      <alignment horizontal="right" vertical="center" wrapText="1"/>
      <protection/>
    </xf>
    <xf numFmtId="164" fontId="9" fillId="36" borderId="10" xfId="0" applyNumberFormat="1" applyFont="1" applyFill="1" applyBorder="1" applyAlignment="1">
      <alignment horizontal="right" vertical="center" wrapText="1"/>
    </xf>
    <xf numFmtId="3" fontId="9" fillId="36" borderId="10" xfId="55" applyNumberFormat="1" applyFont="1" applyFill="1" applyBorder="1" applyAlignment="1">
      <alignment horizontal="right" vertical="center" wrapText="1"/>
      <protection/>
    </xf>
    <xf numFmtId="164" fontId="8" fillId="36" borderId="10" xfId="55" applyNumberFormat="1" applyFont="1" applyFill="1" applyBorder="1" applyAlignment="1">
      <alignment horizontal="right" vertical="center" wrapText="1"/>
      <protection/>
    </xf>
    <xf numFmtId="164" fontId="8" fillId="36" borderId="10" xfId="0" applyNumberFormat="1" applyFont="1" applyFill="1" applyBorder="1" applyAlignment="1">
      <alignment horizontal="right" vertical="center" wrapText="1"/>
    </xf>
    <xf numFmtId="0" fontId="8" fillId="36" borderId="12" xfId="55" applyFont="1" applyFill="1" applyBorder="1" applyAlignment="1">
      <alignment horizontal="center" vertical="center" wrapText="1"/>
      <protection/>
    </xf>
    <xf numFmtId="0" fontId="8" fillId="36" borderId="21" xfId="55" applyFont="1" applyFill="1" applyBorder="1" applyAlignment="1">
      <alignment horizontal="center" vertical="center" wrapText="1"/>
      <protection/>
    </xf>
    <xf numFmtId="164" fontId="8" fillId="36" borderId="12" xfId="55" applyNumberFormat="1" applyFont="1" applyFill="1" applyBorder="1" applyAlignment="1">
      <alignment horizontal="right" vertical="center" wrapText="1"/>
      <protection/>
    </xf>
    <xf numFmtId="164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2" xfId="55" applyNumberFormat="1" applyFont="1" applyFill="1" applyBorder="1" applyAlignment="1" applyProtection="1">
      <alignment horizontal="right" vertical="center" wrapText="1"/>
      <protection locked="0"/>
    </xf>
    <xf numFmtId="3" fontId="2" fillId="36" borderId="0" xfId="0" applyNumberFormat="1" applyFont="1" applyFill="1" applyAlignment="1">
      <alignment vertical="center"/>
    </xf>
    <xf numFmtId="49" fontId="8" fillId="36" borderId="12" xfId="55" applyNumberFormat="1" applyFont="1" applyFill="1" applyBorder="1" applyAlignment="1">
      <alignment horizontal="center" vertical="center" wrapText="1"/>
      <protection/>
    </xf>
    <xf numFmtId="0" fontId="12" fillId="36" borderId="18" xfId="0" applyFont="1" applyFill="1" applyBorder="1" applyAlignment="1">
      <alignment vertical="center" wrapText="1"/>
    </xf>
    <xf numFmtId="3" fontId="9" fillId="36" borderId="10" xfId="0" applyNumberFormat="1" applyFont="1" applyFill="1" applyBorder="1" applyAlignment="1">
      <alignment horizontal="right" vertical="center" wrapText="1"/>
    </xf>
    <xf numFmtId="0" fontId="9" fillId="37" borderId="10" xfId="55" applyFont="1" applyFill="1" applyBorder="1" applyAlignment="1">
      <alignment horizontal="center" vertical="center" wrapText="1"/>
      <protection/>
    </xf>
    <xf numFmtId="0" fontId="9" fillId="37" borderId="18" xfId="55" applyFont="1" applyFill="1" applyBorder="1" applyAlignment="1">
      <alignment vertical="center" wrapText="1"/>
      <protection/>
    </xf>
    <xf numFmtId="3" fontId="9" fillId="37" borderId="10" xfId="55" applyNumberFormat="1" applyFont="1" applyFill="1" applyBorder="1" applyAlignment="1">
      <alignment horizontal="right" vertical="center" wrapText="1"/>
      <protection/>
    </xf>
    <xf numFmtId="3" fontId="9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7" borderId="13" xfId="55" applyNumberFormat="1" applyFont="1" applyFill="1" applyBorder="1" applyAlignment="1">
      <alignment horizontal="right" vertical="center" wrapText="1"/>
      <protection/>
    </xf>
    <xf numFmtId="3" fontId="8" fillId="37" borderId="13" xfId="0" applyNumberFormat="1" applyFont="1" applyFill="1" applyBorder="1" applyAlignment="1">
      <alignment horizontal="right" vertical="center" wrapText="1"/>
    </xf>
    <xf numFmtId="3" fontId="8" fillId="37" borderId="10" xfId="55" applyNumberFormat="1" applyFont="1" applyFill="1" applyBorder="1" applyAlignment="1">
      <alignment horizontal="right" vertical="center" wrapText="1"/>
      <protection/>
    </xf>
    <xf numFmtId="3" fontId="8" fillId="37" borderId="10" xfId="0" applyNumberFormat="1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vertical="center" wrapText="1"/>
    </xf>
    <xf numFmtId="3" fontId="9" fillId="37" borderId="10" xfId="0" applyNumberFormat="1" applyFont="1" applyFill="1" applyBorder="1" applyAlignment="1">
      <alignment horizontal="right" vertical="center" wrapText="1"/>
    </xf>
    <xf numFmtId="164" fontId="8" fillId="37" borderId="12" xfId="55" applyNumberFormat="1" applyFont="1" applyFill="1" applyBorder="1" applyAlignment="1">
      <alignment horizontal="right" vertical="center" wrapText="1"/>
      <protection/>
    </xf>
    <xf numFmtId="164" fontId="8" fillId="37" borderId="12" xfId="0" applyNumberFormat="1" applyFont="1" applyFill="1" applyBorder="1" applyAlignment="1">
      <alignment horizontal="right" vertical="center" wrapText="1"/>
    </xf>
    <xf numFmtId="3" fontId="8" fillId="37" borderId="12" xfId="55" applyNumberFormat="1" applyFont="1" applyFill="1" applyBorder="1" applyAlignment="1">
      <alignment horizontal="right" vertical="center" wrapText="1"/>
      <protection/>
    </xf>
    <xf numFmtId="164" fontId="8" fillId="37" borderId="13" xfId="55" applyNumberFormat="1" applyFont="1" applyFill="1" applyBorder="1" applyAlignment="1">
      <alignment horizontal="right" vertical="center" wrapText="1"/>
      <protection/>
    </xf>
    <xf numFmtId="164" fontId="8" fillId="37" borderId="13" xfId="0" applyNumberFormat="1" applyFont="1" applyFill="1" applyBorder="1" applyAlignment="1">
      <alignment horizontal="right" vertical="center" wrapText="1"/>
    </xf>
    <xf numFmtId="164" fontId="8" fillId="37" borderId="10" xfId="55" applyNumberFormat="1" applyFont="1" applyFill="1" applyBorder="1" applyAlignment="1">
      <alignment horizontal="right" vertical="center" wrapText="1"/>
      <protection/>
    </xf>
    <xf numFmtId="164" fontId="8" fillId="37" borderId="10" xfId="0" applyNumberFormat="1" applyFont="1" applyFill="1" applyBorder="1" applyAlignment="1">
      <alignment horizontal="right" vertical="center" wrapText="1"/>
    </xf>
    <xf numFmtId="4" fontId="2" fillId="37" borderId="0" xfId="0" applyNumberFormat="1" applyFont="1" applyFill="1" applyAlignment="1">
      <alignment vertical="center"/>
    </xf>
    <xf numFmtId="0" fontId="9" fillId="37" borderId="22" xfId="55" applyFont="1" applyFill="1" applyBorder="1" applyAlignment="1">
      <alignment horizontal="center" vertical="center"/>
      <protection/>
    </xf>
    <xf numFmtId="3" fontId="12" fillId="37" borderId="10" xfId="0" applyNumberFormat="1" applyFont="1" applyFill="1" applyBorder="1" applyAlignment="1">
      <alignment vertical="center"/>
    </xf>
    <xf numFmtId="0" fontId="9" fillId="37" borderId="22" xfId="55" applyFont="1" applyFill="1" applyBorder="1" applyAlignment="1" applyProtection="1">
      <alignment horizontal="center" vertical="center" wrapText="1"/>
      <protection/>
    </xf>
    <xf numFmtId="0" fontId="9" fillId="37" borderId="13" xfId="55" applyFont="1" applyFill="1" applyBorder="1" applyAlignment="1" applyProtection="1">
      <alignment horizontal="center" vertical="center" wrapText="1"/>
      <protection/>
    </xf>
    <xf numFmtId="0" fontId="9" fillId="37" borderId="13" xfId="55" applyFont="1" applyFill="1" applyBorder="1" applyAlignment="1">
      <alignment horizontal="center" vertical="center" wrapText="1"/>
      <protection/>
    </xf>
    <xf numFmtId="0" fontId="9" fillId="37" borderId="13" xfId="55" applyFont="1" applyFill="1" applyBorder="1" applyAlignment="1">
      <alignment vertical="center" wrapText="1"/>
      <protection/>
    </xf>
    <xf numFmtId="0" fontId="8" fillId="37" borderId="22" xfId="55" applyFont="1" applyFill="1" applyBorder="1" applyAlignment="1" applyProtection="1">
      <alignment horizontal="center" vertical="center" wrapText="1"/>
      <protection/>
    </xf>
    <xf numFmtId="0" fontId="8" fillId="37" borderId="10" xfId="55" applyFont="1" applyFill="1" applyBorder="1" applyAlignment="1">
      <alignment horizontal="center" vertical="center" wrapText="1"/>
      <protection/>
    </xf>
    <xf numFmtId="0" fontId="5" fillId="37" borderId="18" xfId="0" applyFont="1" applyFill="1" applyBorder="1" applyAlignment="1">
      <alignment vertical="center" wrapText="1"/>
    </xf>
    <xf numFmtId="0" fontId="9" fillId="37" borderId="10" xfId="55" applyFont="1" applyFill="1" applyBorder="1" applyAlignment="1" applyProtection="1">
      <alignment horizontal="center" vertical="center" wrapText="1"/>
      <protection/>
    </xf>
    <xf numFmtId="49" fontId="9" fillId="37" borderId="10" xfId="55" applyNumberFormat="1" applyFont="1" applyFill="1" applyBorder="1" applyAlignment="1" applyProtection="1">
      <alignment horizontal="center" vertical="center" wrapText="1"/>
      <protection/>
    </xf>
    <xf numFmtId="49" fontId="9" fillId="37" borderId="22" xfId="55" applyNumberFormat="1" applyFont="1" applyFill="1" applyBorder="1" applyAlignment="1" applyProtection="1">
      <alignment horizontal="center" vertical="center" wrapText="1"/>
      <protection/>
    </xf>
    <xf numFmtId="0" fontId="8" fillId="37" borderId="18" xfId="55" applyFont="1" applyFill="1" applyBorder="1" applyAlignment="1">
      <alignment vertical="center" wrapText="1"/>
      <protection/>
    </xf>
    <xf numFmtId="3" fontId="8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7" borderId="24" xfId="55" applyFont="1" applyFill="1" applyBorder="1" applyAlignment="1" applyProtection="1">
      <alignment horizontal="center" vertical="center" wrapText="1"/>
      <protection/>
    </xf>
    <xf numFmtId="0" fontId="9" fillId="37" borderId="10" xfId="55" applyFont="1" applyFill="1" applyBorder="1" applyAlignment="1">
      <alignment horizontal="center" vertical="center"/>
      <protection/>
    </xf>
    <xf numFmtId="3" fontId="9" fillId="37" borderId="10" xfId="0" applyNumberFormat="1" applyFont="1" applyFill="1" applyBorder="1" applyAlignment="1">
      <alignment vertical="center"/>
    </xf>
    <xf numFmtId="49" fontId="9" fillId="37" borderId="18" xfId="55" applyNumberFormat="1" applyFont="1" applyFill="1" applyBorder="1" applyAlignment="1">
      <alignment vertical="center" wrapText="1"/>
      <protection/>
    </xf>
    <xf numFmtId="2" fontId="9" fillId="37" borderId="18" xfId="55" applyNumberFormat="1" applyFont="1" applyFill="1" applyBorder="1" applyAlignment="1">
      <alignment vertical="center" wrapText="1"/>
      <protection/>
    </xf>
    <xf numFmtId="49" fontId="9" fillId="37" borderId="27" xfId="55" applyNumberFormat="1" applyFont="1" applyFill="1" applyBorder="1" applyAlignment="1" applyProtection="1">
      <alignment horizontal="center" vertical="center" wrapText="1"/>
      <protection/>
    </xf>
    <xf numFmtId="0" fontId="9" fillId="37" borderId="11" xfId="55" applyFont="1" applyFill="1" applyBorder="1" applyAlignment="1">
      <alignment horizontal="center" vertical="center" wrapText="1"/>
      <protection/>
    </xf>
    <xf numFmtId="0" fontId="9" fillId="37" borderId="16" xfId="55" applyFont="1" applyFill="1" applyBorder="1" applyAlignment="1">
      <alignment vertical="center" wrapText="1"/>
      <protection/>
    </xf>
    <xf numFmtId="3" fontId="4" fillId="33" borderId="0" xfId="55" applyNumberFormat="1" applyFont="1" applyFill="1" applyBorder="1" applyAlignment="1">
      <alignment horizontal="right" vertical="center" wrapText="1"/>
      <protection/>
    </xf>
    <xf numFmtId="49" fontId="8" fillId="36" borderId="10" xfId="55" applyNumberFormat="1" applyFont="1" applyFill="1" applyBorder="1" applyAlignment="1" applyProtection="1">
      <alignment horizontal="center" vertical="center" wrapText="1"/>
      <protection/>
    </xf>
    <xf numFmtId="3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22" xfId="55" applyNumberFormat="1" applyFont="1" applyFill="1" applyBorder="1" applyAlignment="1" applyProtection="1">
      <alignment horizontal="center" vertical="center" wrapText="1"/>
      <protection/>
    </xf>
    <xf numFmtId="0" fontId="9" fillId="36" borderId="15" xfId="55" applyFont="1" applyFill="1" applyBorder="1" applyAlignment="1">
      <alignment horizontal="center" vertical="center" wrapText="1"/>
      <protection/>
    </xf>
    <xf numFmtId="0" fontId="9" fillId="36" borderId="25" xfId="55" applyFont="1" applyFill="1" applyBorder="1" applyAlignment="1">
      <alignment vertical="center" wrapText="1"/>
      <protection/>
    </xf>
    <xf numFmtId="3" fontId="9" fillId="36" borderId="15" xfId="55" applyNumberFormat="1" applyFont="1" applyFill="1" applyBorder="1" applyAlignment="1">
      <alignment horizontal="right" vertical="center" wrapText="1"/>
      <protection/>
    </xf>
    <xf numFmtId="3" fontId="9" fillId="36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25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33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3" xfId="55" applyNumberFormat="1" applyFont="1" applyFill="1" applyBorder="1" applyAlignment="1" applyProtection="1">
      <alignment horizontal="center" vertical="center" wrapText="1"/>
      <protection/>
    </xf>
    <xf numFmtId="49" fontId="9" fillId="36" borderId="34" xfId="55" applyNumberFormat="1" applyFont="1" applyFill="1" applyBorder="1" applyAlignment="1" applyProtection="1">
      <alignment horizontal="center" vertical="center" wrapText="1"/>
      <protection/>
    </xf>
    <xf numFmtId="0" fontId="9" fillId="36" borderId="19" xfId="55" applyFont="1" applyFill="1" applyBorder="1" applyAlignment="1">
      <alignment horizontal="center" vertical="center" wrapText="1"/>
      <protection/>
    </xf>
    <xf numFmtId="0" fontId="9" fillId="36" borderId="31" xfId="55" applyFont="1" applyFill="1" applyBorder="1" applyAlignment="1">
      <alignment vertical="center" wrapText="1"/>
      <protection/>
    </xf>
    <xf numFmtId="3" fontId="9" fillId="36" borderId="19" xfId="55" applyNumberFormat="1" applyFont="1" applyFill="1" applyBorder="1" applyAlignment="1">
      <alignment horizontal="right" vertical="center" wrapText="1"/>
      <protection/>
    </xf>
    <xf numFmtId="3" fontId="9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26" xfId="55" applyNumberFormat="1" applyFont="1" applyFill="1" applyBorder="1" applyAlignment="1" applyProtection="1">
      <alignment horizontal="center" vertical="center" wrapText="1"/>
      <protection/>
    </xf>
    <xf numFmtId="0" fontId="9" fillId="36" borderId="20" xfId="55" applyFont="1" applyFill="1" applyBorder="1" applyAlignment="1">
      <alignment horizontal="center" vertical="center" wrapText="1"/>
      <protection/>
    </xf>
    <xf numFmtId="0" fontId="9" fillId="36" borderId="17" xfId="55" applyFont="1" applyFill="1" applyBorder="1" applyAlignment="1">
      <alignment vertical="center" wrapText="1"/>
      <protection/>
    </xf>
    <xf numFmtId="3" fontId="9" fillId="36" borderId="13" xfId="55" applyNumberFormat="1" applyFont="1" applyFill="1" applyBorder="1" applyAlignment="1">
      <alignment horizontal="right" vertical="center" wrapText="1"/>
      <protection/>
    </xf>
    <xf numFmtId="3" fontId="9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0" xfId="55" applyNumberFormat="1" applyFont="1" applyFill="1" applyBorder="1" applyAlignment="1" applyProtection="1">
      <alignment horizontal="center" vertical="center" wrapText="1"/>
      <protection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0" xfId="0" applyNumberFormat="1" applyFont="1" applyFill="1" applyBorder="1" applyAlignment="1">
      <alignment vertical="center"/>
    </xf>
    <xf numFmtId="0" fontId="8" fillId="36" borderId="18" xfId="55" applyFont="1" applyFill="1" applyBorder="1" applyAlignment="1">
      <alignment vertical="center" wrapText="1"/>
      <protection/>
    </xf>
    <xf numFmtId="0" fontId="8" fillId="36" borderId="10" xfId="55" applyFont="1" applyFill="1" applyBorder="1" applyAlignment="1">
      <alignment vertical="center" wrapText="1"/>
      <protection/>
    </xf>
    <xf numFmtId="0" fontId="9" fillId="36" borderId="12" xfId="55" applyFont="1" applyFill="1" applyBorder="1" applyAlignment="1">
      <alignment horizontal="center" vertical="center" wrapText="1"/>
      <protection/>
    </xf>
    <xf numFmtId="0" fontId="9" fillId="36" borderId="12" xfId="55" applyFont="1" applyFill="1" applyBorder="1" applyAlignment="1">
      <alignment vertical="center" wrapText="1"/>
      <protection/>
    </xf>
    <xf numFmtId="3" fontId="9" fillId="36" borderId="35" xfId="55" applyNumberFormat="1" applyFont="1" applyFill="1" applyBorder="1" applyAlignment="1">
      <alignment horizontal="right" vertical="center" wrapText="1"/>
      <protection/>
    </xf>
    <xf numFmtId="3" fontId="9" fillId="36" borderId="35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36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37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0" applyNumberFormat="1" applyFont="1" applyFill="1" applyBorder="1" applyAlignment="1">
      <alignment horizontal="center" vertical="center"/>
    </xf>
    <xf numFmtId="164" fontId="8" fillId="36" borderId="12" xfId="0" applyNumberFormat="1" applyFont="1" applyFill="1" applyBorder="1" applyAlignment="1">
      <alignment horizontal="right" vertical="center" wrapText="1"/>
    </xf>
    <xf numFmtId="3" fontId="8" fillId="36" borderId="12" xfId="55" applyNumberFormat="1" applyFont="1" applyFill="1" applyBorder="1" applyAlignment="1">
      <alignment horizontal="right" vertical="center" wrapText="1"/>
      <protection/>
    </xf>
    <xf numFmtId="3" fontId="8" fillId="36" borderId="10" xfId="55" applyNumberFormat="1" applyFont="1" applyFill="1" applyBorder="1" applyAlignment="1">
      <alignment horizontal="right" vertical="center" wrapText="1"/>
      <protection/>
    </xf>
    <xf numFmtId="164" fontId="8" fillId="36" borderId="13" xfId="55" applyNumberFormat="1" applyFont="1" applyFill="1" applyBorder="1" applyAlignment="1">
      <alignment horizontal="right" vertical="center" wrapText="1"/>
      <protection/>
    </xf>
    <xf numFmtId="164" fontId="8" fillId="36" borderId="13" xfId="0" applyNumberFormat="1" applyFont="1" applyFill="1" applyBorder="1" applyAlignment="1">
      <alignment horizontal="right" vertical="center" wrapText="1"/>
    </xf>
    <xf numFmtId="3" fontId="8" fillId="36" borderId="13" xfId="55" applyNumberFormat="1" applyFont="1" applyFill="1" applyBorder="1" applyAlignment="1">
      <alignment horizontal="right" vertical="center" wrapText="1"/>
      <protection/>
    </xf>
    <xf numFmtId="3" fontId="8" fillId="36" borderId="10" xfId="0" applyNumberFormat="1" applyFont="1" applyFill="1" applyBorder="1" applyAlignment="1">
      <alignment horizontal="right" vertical="center" wrapText="1"/>
    </xf>
    <xf numFmtId="0" fontId="8" fillId="36" borderId="38" xfId="55" applyFont="1" applyFill="1" applyBorder="1" applyAlignment="1" applyProtection="1">
      <alignment horizontal="center" vertical="center" wrapText="1"/>
      <protection/>
    </xf>
    <xf numFmtId="0" fontId="8" fillId="36" borderId="26" xfId="55" applyFont="1" applyFill="1" applyBorder="1" applyAlignment="1">
      <alignment horizontal="center" vertical="center" wrapText="1"/>
      <protection/>
    </xf>
    <xf numFmtId="0" fontId="5" fillId="36" borderId="26" xfId="0" applyFont="1" applyFill="1" applyBorder="1" applyAlignment="1">
      <alignment vertical="center" wrapText="1"/>
    </xf>
    <xf numFmtId="0" fontId="8" fillId="36" borderId="10" xfId="55" applyFont="1" applyFill="1" applyBorder="1" applyAlignment="1" applyProtection="1">
      <alignment horizontal="center" vertical="center" wrapText="1"/>
      <protection/>
    </xf>
    <xf numFmtId="49" fontId="8" fillId="36" borderId="22" xfId="55" applyNumberFormat="1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3" fontId="8" fillId="36" borderId="10" xfId="0" applyNumberFormat="1" applyFont="1" applyFill="1" applyBorder="1" applyAlignment="1">
      <alignment vertical="center"/>
    </xf>
    <xf numFmtId="49" fontId="8" fillId="36" borderId="24" xfId="55" applyNumberFormat="1" applyFont="1" applyFill="1" applyBorder="1" applyAlignment="1">
      <alignment horizontal="center" vertical="center" wrapText="1"/>
      <protection/>
    </xf>
    <xf numFmtId="49" fontId="9" fillId="36" borderId="18" xfId="55" applyNumberFormat="1" applyFont="1" applyFill="1" applyBorder="1" applyAlignment="1">
      <alignment vertical="center" wrapText="1"/>
      <protection/>
    </xf>
    <xf numFmtId="49" fontId="8" fillId="36" borderId="22" xfId="55" applyNumberFormat="1" applyFont="1" applyFill="1" applyBorder="1" applyAlignment="1" applyProtection="1">
      <alignment horizontal="center" vertical="center" wrapText="1"/>
      <protection/>
    </xf>
    <xf numFmtId="49" fontId="8" fillId="36" borderId="13" xfId="55" applyNumberFormat="1" applyFont="1" applyFill="1" applyBorder="1" applyAlignment="1" applyProtection="1">
      <alignment horizontal="center" vertical="center" wrapText="1"/>
      <protection/>
    </xf>
    <xf numFmtId="3" fontId="8" fillId="36" borderId="14" xfId="55" applyNumberFormat="1" applyFont="1" applyFill="1" applyBorder="1" applyAlignment="1">
      <alignment horizontal="right" vertical="center" wrapText="1"/>
      <protection/>
    </xf>
    <xf numFmtId="3" fontId="8" fillId="36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35" xfId="55" applyNumberFormat="1" applyFont="1" applyFill="1" applyBorder="1" applyAlignment="1" applyProtection="1">
      <alignment horizontal="right" vertical="center" wrapText="1"/>
      <protection locked="0"/>
    </xf>
    <xf numFmtId="0" fontId="8" fillId="36" borderId="39" xfId="55" applyFont="1" applyFill="1" applyBorder="1" applyAlignment="1">
      <alignment horizontal="center" vertical="center" wrapText="1"/>
      <protection/>
    </xf>
    <xf numFmtId="0" fontId="8" fillId="36" borderId="29" xfId="55" applyFont="1" applyFill="1" applyBorder="1" applyAlignment="1">
      <alignment horizontal="left" vertical="center" wrapText="1"/>
      <protection/>
    </xf>
    <xf numFmtId="3" fontId="8" fillId="36" borderId="29" xfId="55" applyNumberFormat="1" applyFont="1" applyFill="1" applyBorder="1" applyAlignment="1" applyProtection="1">
      <alignment horizontal="right" vertical="center" wrapText="1"/>
      <protection locked="0"/>
    </xf>
    <xf numFmtId="0" fontId="8" fillId="36" borderId="20" xfId="55" applyFont="1" applyFill="1" applyBorder="1" applyAlignment="1">
      <alignment horizontal="center" vertical="center" wrapText="1"/>
      <protection/>
    </xf>
    <xf numFmtId="0" fontId="8" fillId="36" borderId="17" xfId="55" applyFont="1" applyFill="1" applyBorder="1" applyAlignment="1">
      <alignment vertical="center" wrapText="1"/>
      <protection/>
    </xf>
    <xf numFmtId="3" fontId="8" fillId="36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3" xfId="55" applyFont="1" applyFill="1" applyBorder="1" applyAlignment="1">
      <alignment horizontal="center" vertical="center" wrapText="1"/>
      <protection/>
    </xf>
    <xf numFmtId="0" fontId="8" fillId="36" borderId="17" xfId="55" applyFont="1" applyFill="1" applyBorder="1" applyAlignment="1">
      <alignment horizontal="left" vertical="center" wrapText="1"/>
      <protection/>
    </xf>
    <xf numFmtId="3" fontId="8" fillId="36" borderId="13" xfId="0" applyNumberFormat="1" applyFont="1" applyFill="1" applyBorder="1" applyAlignment="1">
      <alignment horizontal="right" vertical="center" wrapText="1"/>
    </xf>
    <xf numFmtId="3" fontId="8" fillId="36" borderId="21" xfId="55" applyNumberFormat="1" applyFont="1" applyFill="1" applyBorder="1" applyAlignment="1" applyProtection="1">
      <alignment horizontal="right" vertical="center" wrapText="1"/>
      <protection locked="0"/>
    </xf>
    <xf numFmtId="3" fontId="8" fillId="36" borderId="37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55" applyFont="1" applyFill="1" applyBorder="1" applyAlignment="1">
      <alignment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right" vertical="center" wrapText="1"/>
      <protection/>
    </xf>
    <xf numFmtId="4" fontId="16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2" xfId="55" applyFont="1" applyFill="1" applyBorder="1" applyAlignment="1">
      <alignment horizontal="left" vertical="center" wrapText="1"/>
      <protection/>
    </xf>
    <xf numFmtId="0" fontId="8" fillId="0" borderId="21" xfId="55" applyFont="1" applyFill="1" applyBorder="1" applyAlignment="1">
      <alignment horizontal="left" vertical="center" wrapText="1"/>
      <protection/>
    </xf>
    <xf numFmtId="0" fontId="8" fillId="0" borderId="18" xfId="55" applyFont="1" applyFill="1" applyBorder="1" applyAlignment="1">
      <alignment horizontal="left" vertical="center" wrapText="1"/>
      <protection/>
    </xf>
    <xf numFmtId="49" fontId="8" fillId="0" borderId="26" xfId="55" applyNumberFormat="1" applyFont="1" applyFill="1" applyBorder="1" applyAlignment="1" applyProtection="1">
      <alignment horizontal="center" vertical="center" wrapText="1"/>
      <protection/>
    </xf>
    <xf numFmtId="0" fontId="8" fillId="0" borderId="24" xfId="55" applyFont="1" applyFill="1" applyBorder="1" applyAlignment="1">
      <alignment horizontal="left" vertical="center" wrapText="1"/>
      <protection/>
    </xf>
    <xf numFmtId="0" fontId="9" fillId="0" borderId="27" xfId="55" applyFont="1" applyFill="1" applyBorder="1" applyAlignment="1">
      <alignment horizontal="center" vertical="center"/>
      <protection/>
    </xf>
    <xf numFmtId="0" fontId="20" fillId="0" borderId="17" xfId="55" applyFont="1" applyFill="1" applyBorder="1" applyAlignment="1">
      <alignment horizontal="left" vertical="center" wrapText="1"/>
      <protection/>
    </xf>
    <xf numFmtId="0" fontId="8" fillId="0" borderId="25" xfId="55" applyFont="1" applyFill="1" applyBorder="1" applyAlignment="1" applyProtection="1">
      <alignment horizontal="center" vertical="center" wrapText="1"/>
      <protection/>
    </xf>
    <xf numFmtId="0" fontId="8" fillId="0" borderId="16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left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textRotation="90" wrapText="1"/>
      <protection/>
    </xf>
    <xf numFmtId="0" fontId="9" fillId="0" borderId="12" xfId="55" applyFont="1" applyFill="1" applyBorder="1" applyAlignment="1">
      <alignment horizontal="left" vertical="center" wrapText="1"/>
      <protection/>
    </xf>
    <xf numFmtId="0" fontId="8" fillId="0" borderId="17" xfId="55" applyFont="1" applyFill="1" applyBorder="1" applyAlignment="1">
      <alignment horizontal="right" vertical="center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36" borderId="14" xfId="55" applyFont="1" applyFill="1" applyBorder="1" applyAlignment="1">
      <alignment horizontal="left" vertical="center" wrapText="1"/>
      <protection/>
    </xf>
    <xf numFmtId="0" fontId="8" fillId="36" borderId="12" xfId="55" applyFont="1" applyFill="1" applyBorder="1" applyAlignment="1">
      <alignment horizontal="left" vertical="center" wrapText="1"/>
      <protection/>
    </xf>
    <xf numFmtId="0" fontId="8" fillId="36" borderId="40" xfId="55" applyFont="1" applyFill="1" applyBorder="1" applyAlignment="1">
      <alignment horizontal="left" vertical="center" wrapText="1"/>
      <protection/>
    </xf>
    <xf numFmtId="0" fontId="8" fillId="36" borderId="21" xfId="55" applyFont="1" applyFill="1" applyBorder="1" applyAlignment="1">
      <alignment horizontal="left" vertical="center" wrapText="1"/>
      <protection/>
    </xf>
    <xf numFmtId="0" fontId="8" fillId="36" borderId="41" xfId="55" applyFont="1" applyFill="1" applyBorder="1" applyAlignment="1">
      <alignment horizontal="left" vertical="center" wrapText="1"/>
      <protection/>
    </xf>
    <xf numFmtId="0" fontId="8" fillId="36" borderId="10" xfId="55" applyFont="1" applyFill="1" applyBorder="1" applyAlignment="1">
      <alignment horizontal="left" vertical="center" wrapText="1"/>
      <protection/>
    </xf>
    <xf numFmtId="0" fontId="8" fillId="36" borderId="18" xfId="55" applyFont="1" applyFill="1" applyBorder="1" applyAlignment="1">
      <alignment horizontal="left" vertical="center" wrapText="1"/>
      <protection/>
    </xf>
    <xf numFmtId="0" fontId="8" fillId="37" borderId="17" xfId="55" applyFont="1" applyFill="1" applyBorder="1" applyAlignment="1">
      <alignment horizontal="left"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3" fillId="36" borderId="18" xfId="55" applyFont="1" applyFill="1" applyBorder="1" applyAlignment="1">
      <alignment horizontal="left" vertical="center" wrapText="1"/>
      <protection/>
    </xf>
    <xf numFmtId="0" fontId="8" fillId="36" borderId="17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46"/>
  <sheetViews>
    <sheetView tabSelected="1" zoomScale="80" zoomScaleNormal="80" zoomScalePageLayoutView="0" workbookViewId="0" topLeftCell="A227">
      <selection activeCell="G260" sqref="G260"/>
    </sheetView>
  </sheetViews>
  <sheetFormatPr defaultColWidth="11.57421875" defaultRowHeight="15"/>
  <cols>
    <col min="1" max="1" width="4.00390625" style="1" customWidth="1"/>
    <col min="2" max="2" width="10.00390625" style="1" customWidth="1"/>
    <col min="3" max="3" width="13.421875" style="1" customWidth="1"/>
    <col min="4" max="4" width="13.8515625" style="1" customWidth="1"/>
    <col min="5" max="5" width="31.140625" style="2" customWidth="1"/>
    <col min="6" max="6" width="14.00390625" style="1" customWidth="1"/>
    <col min="7" max="7" width="9.7109375" style="1" customWidth="1"/>
    <col min="8" max="8" width="15.140625" style="3" customWidth="1"/>
    <col min="9" max="9" width="13.28125" style="1" customWidth="1"/>
    <col min="10" max="10" width="14.140625" style="1" customWidth="1"/>
    <col min="11" max="11" width="12.7109375" style="1" customWidth="1"/>
    <col min="12" max="12" width="14.57421875" style="1" customWidth="1"/>
    <col min="13" max="13" width="10.7109375" style="3" customWidth="1"/>
    <col min="14" max="14" width="12.421875" style="3" customWidth="1"/>
    <col min="15" max="15" width="13.57421875" style="1" customWidth="1"/>
    <col min="16" max="16" width="10.7109375" style="1" customWidth="1"/>
    <col min="17" max="20" width="12.00390625" style="1" customWidth="1"/>
    <col min="21" max="21" width="10.7109375" style="226" customWidth="1"/>
    <col min="22" max="22" width="14.57421875" style="3" customWidth="1"/>
    <col min="23" max="23" width="22.00390625" style="1" customWidth="1"/>
    <col min="24" max="24" width="9.140625" style="1" customWidth="1"/>
    <col min="25" max="25" width="13.57421875" style="1" customWidth="1"/>
    <col min="26" max="209" width="9.140625" style="1" customWidth="1"/>
    <col min="210" max="16384" width="11.57421875" style="68" customWidth="1"/>
  </cols>
  <sheetData>
    <row r="1" spans="1:21" s="3" customFormat="1" ht="29.25" customHeight="1">
      <c r="A1" s="83" t="s">
        <v>0</v>
      </c>
      <c r="B1" s="4"/>
      <c r="C1" s="4"/>
      <c r="D1" s="4"/>
      <c r="E1" s="5"/>
      <c r="F1" s="1"/>
      <c r="G1" s="1"/>
      <c r="U1" s="226"/>
    </row>
    <row r="2" spans="1:21" s="3" customFormat="1" ht="33" customHeight="1">
      <c r="A2" s="6"/>
      <c r="B2" s="4"/>
      <c r="C2" s="4"/>
      <c r="D2" s="4"/>
      <c r="E2" s="5"/>
      <c r="F2" s="1"/>
      <c r="G2" s="1"/>
      <c r="U2" s="226"/>
    </row>
    <row r="3" spans="1:21" s="3" customFormat="1" ht="27" customHeight="1">
      <c r="A3" s="84" t="s">
        <v>466</v>
      </c>
      <c r="B3" s="7"/>
      <c r="C3" s="7"/>
      <c r="D3" s="7"/>
      <c r="E3" s="7"/>
      <c r="F3" s="1"/>
      <c r="G3" s="1"/>
      <c r="U3" s="226"/>
    </row>
    <row r="4" spans="1:21" s="3" customFormat="1" ht="27" customHeight="1">
      <c r="A4" s="84"/>
      <c r="B4" s="7"/>
      <c r="C4" s="7"/>
      <c r="D4" s="7"/>
      <c r="E4" s="7"/>
      <c r="F4" s="1"/>
      <c r="G4" s="1"/>
      <c r="U4" s="226"/>
    </row>
    <row r="5" spans="1:21" s="3" customFormat="1" ht="38.25" customHeight="1">
      <c r="A5" s="4"/>
      <c r="B5" s="4"/>
      <c r="C5" s="4"/>
      <c r="D5" s="4"/>
      <c r="E5" s="5"/>
      <c r="F5" s="1"/>
      <c r="G5" s="1"/>
      <c r="U5" s="226"/>
    </row>
    <row r="6" spans="1:21" s="3" customFormat="1" ht="40.5" customHeight="1">
      <c r="A6" s="91" t="s">
        <v>1</v>
      </c>
      <c r="B6" s="4"/>
      <c r="C6" s="4"/>
      <c r="D6" s="4"/>
      <c r="E6" s="5"/>
      <c r="F6" s="1"/>
      <c r="G6" s="1"/>
      <c r="U6" s="226"/>
    </row>
    <row r="7" spans="1:21" s="3" customFormat="1" ht="12" customHeight="1">
      <c r="A7" s="382" t="s">
        <v>2</v>
      </c>
      <c r="B7" s="380" t="s">
        <v>3</v>
      </c>
      <c r="C7" s="382" t="s">
        <v>4</v>
      </c>
      <c r="D7" s="380" t="s">
        <v>5</v>
      </c>
      <c r="E7" s="380" t="s">
        <v>6</v>
      </c>
      <c r="F7" s="373" t="s">
        <v>7</v>
      </c>
      <c r="G7" s="374"/>
      <c r="H7" s="374"/>
      <c r="I7" s="374"/>
      <c r="J7" s="374"/>
      <c r="K7" s="375"/>
      <c r="L7" s="373" t="s">
        <v>464</v>
      </c>
      <c r="M7" s="374"/>
      <c r="N7" s="374"/>
      <c r="O7" s="374"/>
      <c r="P7" s="374"/>
      <c r="Q7" s="375"/>
      <c r="R7" s="57"/>
      <c r="S7" s="57"/>
      <c r="T7" s="57"/>
      <c r="U7" s="226"/>
    </row>
    <row r="8" spans="1:21" s="3" customFormat="1" ht="12" customHeight="1">
      <c r="A8" s="382"/>
      <c r="B8" s="380"/>
      <c r="C8" s="382"/>
      <c r="D8" s="380"/>
      <c r="E8" s="380"/>
      <c r="F8" s="376" t="s">
        <v>8</v>
      </c>
      <c r="G8" s="378" t="s">
        <v>9</v>
      </c>
      <c r="H8" s="378"/>
      <c r="I8" s="378"/>
      <c r="J8" s="378" t="s">
        <v>11</v>
      </c>
      <c r="K8" s="380" t="s">
        <v>10</v>
      </c>
      <c r="L8" s="376" t="s">
        <v>8</v>
      </c>
      <c r="M8" s="378" t="s">
        <v>9</v>
      </c>
      <c r="N8" s="378"/>
      <c r="O8" s="378"/>
      <c r="P8" s="378" t="s">
        <v>11</v>
      </c>
      <c r="Q8" s="380" t="s">
        <v>10</v>
      </c>
      <c r="R8" s="57"/>
      <c r="S8" s="57"/>
      <c r="T8" s="57"/>
      <c r="U8" s="226"/>
    </row>
    <row r="9" spans="1:22" s="3" customFormat="1" ht="53.25" customHeight="1">
      <c r="A9" s="382"/>
      <c r="B9" s="380"/>
      <c r="C9" s="382"/>
      <c r="D9" s="380"/>
      <c r="E9" s="380"/>
      <c r="F9" s="376"/>
      <c r="G9" s="9" t="s">
        <v>12</v>
      </c>
      <c r="H9" s="8" t="s">
        <v>13</v>
      </c>
      <c r="I9" s="8" t="s">
        <v>14</v>
      </c>
      <c r="J9" s="378"/>
      <c r="K9" s="378"/>
      <c r="L9" s="376"/>
      <c r="M9" s="9" t="s">
        <v>12</v>
      </c>
      <c r="N9" s="8" t="s">
        <v>13</v>
      </c>
      <c r="O9" s="8" t="s">
        <v>14</v>
      </c>
      <c r="P9" s="378"/>
      <c r="Q9" s="378"/>
      <c r="R9" s="77"/>
      <c r="S9" s="77"/>
      <c r="T9" s="77"/>
      <c r="U9" s="226" t="s">
        <v>445</v>
      </c>
      <c r="V9" s="3" t="s">
        <v>446</v>
      </c>
    </row>
    <row r="10" spans="1:21" s="223" customFormat="1" ht="12" customHeight="1" thickBot="1">
      <c r="A10" s="69">
        <v>0</v>
      </c>
      <c r="B10" s="69">
        <v>1</v>
      </c>
      <c r="C10" s="69">
        <v>2</v>
      </c>
      <c r="D10" s="69">
        <v>3</v>
      </c>
      <c r="E10" s="70">
        <v>4</v>
      </c>
      <c r="F10" s="69" t="s">
        <v>15</v>
      </c>
      <c r="G10" s="69">
        <v>6</v>
      </c>
      <c r="H10" s="69">
        <v>7</v>
      </c>
      <c r="I10" s="69">
        <v>8</v>
      </c>
      <c r="J10" s="69">
        <v>9</v>
      </c>
      <c r="K10" s="224">
        <v>10</v>
      </c>
      <c r="L10" s="69" t="s">
        <v>439</v>
      </c>
      <c r="M10" s="69">
        <v>12</v>
      </c>
      <c r="N10" s="69">
        <v>13</v>
      </c>
      <c r="O10" s="69">
        <v>14</v>
      </c>
      <c r="P10" s="69">
        <v>15</v>
      </c>
      <c r="Q10" s="224">
        <v>16</v>
      </c>
      <c r="R10" s="321"/>
      <c r="S10" s="321"/>
      <c r="T10" s="321"/>
      <c r="U10" s="227"/>
    </row>
    <row r="11" spans="1:22" s="3" customFormat="1" ht="35.25" customHeight="1" thickBot="1" thickTop="1">
      <c r="A11" s="97" t="s">
        <v>16</v>
      </c>
      <c r="B11" s="98" t="s">
        <v>17</v>
      </c>
      <c r="C11" s="98"/>
      <c r="D11" s="390" t="s">
        <v>18</v>
      </c>
      <c r="E11" s="390"/>
      <c r="F11" s="241">
        <f>+F12+F14+F19</f>
        <v>20604500</v>
      </c>
      <c r="G11" s="322">
        <f>+G14+G19</f>
        <v>0</v>
      </c>
      <c r="H11" s="241">
        <f>+H14+H19</f>
        <v>0</v>
      </c>
      <c r="I11" s="323">
        <f>+I14+I19+I13</f>
        <v>650000</v>
      </c>
      <c r="J11" s="323"/>
      <c r="K11" s="241">
        <f>+K12+K14+K19</f>
        <v>19954500</v>
      </c>
      <c r="L11" s="259">
        <f>+M11+N11+O11+P11+Q11</f>
        <v>21645686</v>
      </c>
      <c r="M11" s="260">
        <f>+M14+M19</f>
        <v>0</v>
      </c>
      <c r="N11" s="259">
        <f>+N14+N19</f>
        <v>0</v>
      </c>
      <c r="O11" s="261">
        <f>+O14+O19+O13</f>
        <v>1351186</v>
      </c>
      <c r="P11" s="261"/>
      <c r="Q11" s="259">
        <f>+Q12+Q14+Q19+Q17</f>
        <v>20294500</v>
      </c>
      <c r="R11" s="58"/>
      <c r="S11" s="58"/>
      <c r="T11" s="58"/>
      <c r="U11" s="226"/>
      <c r="V11" s="3">
        <f>+L12+L14+L17+L19</f>
        <v>21645686</v>
      </c>
    </row>
    <row r="12" spans="1:21" s="3" customFormat="1" ht="39.75" customHeight="1" thickTop="1">
      <c r="A12" s="99">
        <v>1</v>
      </c>
      <c r="B12" s="100" t="s">
        <v>447</v>
      </c>
      <c r="C12" s="101"/>
      <c r="D12" s="397" t="s">
        <v>19</v>
      </c>
      <c r="E12" s="397"/>
      <c r="F12" s="325">
        <f>SUM(G12:K12)</f>
        <v>650000</v>
      </c>
      <c r="G12" s="326"/>
      <c r="H12" s="325"/>
      <c r="I12" s="327">
        <f>+I13</f>
        <v>650000</v>
      </c>
      <c r="J12" s="327"/>
      <c r="K12" s="325">
        <f>+K13</f>
        <v>0</v>
      </c>
      <c r="L12" s="262">
        <f>SUM(M12:Q12)</f>
        <v>1351186</v>
      </c>
      <c r="M12" s="263"/>
      <c r="N12" s="262"/>
      <c r="O12" s="252">
        <f>+O13</f>
        <v>1351186</v>
      </c>
      <c r="P12" s="252"/>
      <c r="Q12" s="262">
        <f>+Q13</f>
        <v>0</v>
      </c>
      <c r="R12" s="58"/>
      <c r="S12" s="58"/>
      <c r="T12" s="58"/>
      <c r="U12" s="226"/>
    </row>
    <row r="13" spans="1:21" s="3" customFormat="1" ht="30" customHeight="1" hidden="1">
      <c r="A13" s="102"/>
      <c r="B13" s="103"/>
      <c r="C13" s="104"/>
      <c r="D13" s="231">
        <v>741411</v>
      </c>
      <c r="E13" s="233" t="s">
        <v>20</v>
      </c>
      <c r="F13" s="237">
        <f>SUM(G13:K13)</f>
        <v>650000</v>
      </c>
      <c r="G13" s="238"/>
      <c r="H13" s="237"/>
      <c r="I13" s="236">
        <v>650000</v>
      </c>
      <c r="J13" s="236"/>
      <c r="K13" s="237"/>
      <c r="L13" s="234">
        <f>SUM(M13:Q13)</f>
        <v>1351186</v>
      </c>
      <c r="M13" s="238"/>
      <c r="N13" s="237"/>
      <c r="O13" s="236">
        <v>1351186</v>
      </c>
      <c r="P13" s="236"/>
      <c r="Q13" s="237"/>
      <c r="R13" s="58"/>
      <c r="S13" s="58"/>
      <c r="T13" s="58"/>
      <c r="U13" s="226">
        <v>1351186.14</v>
      </c>
    </row>
    <row r="14" spans="1:21" s="3" customFormat="1" ht="40.5" customHeight="1">
      <c r="A14" s="102">
        <v>2</v>
      </c>
      <c r="B14" s="107">
        <v>742100</v>
      </c>
      <c r="C14" s="108"/>
      <c r="D14" s="393" t="s">
        <v>21</v>
      </c>
      <c r="E14" s="393"/>
      <c r="F14" s="237">
        <f>+G14+H14+I14+K14</f>
        <v>19800000</v>
      </c>
      <c r="G14" s="238">
        <f>+G15</f>
        <v>0</v>
      </c>
      <c r="H14" s="237"/>
      <c r="I14" s="324"/>
      <c r="J14" s="324"/>
      <c r="K14" s="237">
        <f>+K15+K16</f>
        <v>19800000</v>
      </c>
      <c r="L14" s="264">
        <f>+M14+N14+O14+Q14</f>
        <v>20050000</v>
      </c>
      <c r="M14" s="265">
        <f>+M15</f>
        <v>0</v>
      </c>
      <c r="N14" s="264"/>
      <c r="O14" s="254"/>
      <c r="P14" s="254"/>
      <c r="Q14" s="264">
        <f>+Q15+Q16</f>
        <v>20050000</v>
      </c>
      <c r="R14" s="58"/>
      <c r="S14" s="58"/>
      <c r="T14" s="58"/>
      <c r="U14" s="226"/>
    </row>
    <row r="15" spans="1:22" s="3" customFormat="1" ht="30" customHeight="1" hidden="1">
      <c r="A15" s="385"/>
      <c r="B15" s="386"/>
      <c r="C15" s="386"/>
      <c r="D15" s="105">
        <v>742121</v>
      </c>
      <c r="E15" s="106" t="s">
        <v>22</v>
      </c>
      <c r="F15" s="19">
        <f>+G15+H15+I15+K15</f>
        <v>19200000</v>
      </c>
      <c r="G15" s="20"/>
      <c r="H15" s="19"/>
      <c r="I15" s="17"/>
      <c r="J15" s="17"/>
      <c r="K15" s="19">
        <f>18000000+1200000</f>
        <v>19200000</v>
      </c>
      <c r="L15" s="19">
        <f>+M15+N15+O15+Q15</f>
        <v>19200000</v>
      </c>
      <c r="M15" s="20"/>
      <c r="N15" s="19"/>
      <c r="O15" s="17"/>
      <c r="P15" s="17"/>
      <c r="Q15" s="19">
        <f>18000000+1200000</f>
        <v>19200000</v>
      </c>
      <c r="R15" s="59"/>
      <c r="S15" s="59"/>
      <c r="T15" s="59"/>
      <c r="V15" s="3">
        <v>16545405.49</v>
      </c>
    </row>
    <row r="16" spans="1:22" s="3" customFormat="1" ht="30" customHeight="1" hidden="1">
      <c r="A16" s="385"/>
      <c r="B16" s="386"/>
      <c r="C16" s="386"/>
      <c r="D16" s="232">
        <v>742122</v>
      </c>
      <c r="E16" s="233" t="s">
        <v>23</v>
      </c>
      <c r="F16" s="234">
        <f>+G16+H16+I16+K16</f>
        <v>600000</v>
      </c>
      <c r="G16" s="235"/>
      <c r="H16" s="234"/>
      <c r="I16" s="236"/>
      <c r="J16" s="236"/>
      <c r="K16" s="234">
        <v>600000</v>
      </c>
      <c r="L16" s="234">
        <f>+M16+N16+O16+Q16</f>
        <v>850000</v>
      </c>
      <c r="M16" s="235"/>
      <c r="N16" s="234"/>
      <c r="O16" s="236"/>
      <c r="P16" s="236"/>
      <c r="Q16" s="234">
        <v>850000</v>
      </c>
      <c r="R16" s="59"/>
      <c r="S16" s="59"/>
      <c r="T16" s="59"/>
      <c r="V16" s="3">
        <v>859464.21</v>
      </c>
    </row>
    <row r="17" spans="1:20" s="3" customFormat="1" ht="33.75" customHeight="1">
      <c r="A17" s="102">
        <v>3</v>
      </c>
      <c r="B17" s="107">
        <v>744100</v>
      </c>
      <c r="C17" s="108"/>
      <c r="D17" s="396" t="s">
        <v>467</v>
      </c>
      <c r="E17" s="396"/>
      <c r="F17" s="237">
        <f>SUM(G17:K17)</f>
        <v>0</v>
      </c>
      <c r="G17" s="238">
        <f>+G18</f>
        <v>0</v>
      </c>
      <c r="H17" s="238">
        <f>+H18</f>
        <v>0</v>
      </c>
      <c r="I17" s="324"/>
      <c r="J17" s="324"/>
      <c r="K17" s="237"/>
      <c r="L17" s="237">
        <f>SUM(M17:Q17)</f>
        <v>90000</v>
      </c>
      <c r="M17" s="238">
        <f>+M18</f>
        <v>0</v>
      </c>
      <c r="N17" s="238">
        <f>+N18</f>
        <v>0</v>
      </c>
      <c r="O17" s="324"/>
      <c r="P17" s="324"/>
      <c r="Q17" s="237">
        <f>+Q18</f>
        <v>90000</v>
      </c>
      <c r="R17" s="58"/>
      <c r="S17" s="58"/>
      <c r="T17" s="58"/>
    </row>
    <row r="18" spans="1:20" s="3" customFormat="1" ht="30" customHeight="1" hidden="1">
      <c r="A18" s="102"/>
      <c r="B18" s="105"/>
      <c r="C18" s="110"/>
      <c r="D18" s="232">
        <v>744161</v>
      </c>
      <c r="E18" s="233" t="s">
        <v>468</v>
      </c>
      <c r="F18" s="234"/>
      <c r="G18" s="235"/>
      <c r="H18" s="234"/>
      <c r="I18" s="236"/>
      <c r="J18" s="236"/>
      <c r="K18" s="234"/>
      <c r="L18" s="234"/>
      <c r="M18" s="235"/>
      <c r="N18" s="234"/>
      <c r="O18" s="236"/>
      <c r="P18" s="236"/>
      <c r="Q18" s="234">
        <v>90000</v>
      </c>
      <c r="R18" s="59"/>
      <c r="S18" s="59"/>
      <c r="T18" s="59"/>
    </row>
    <row r="19" spans="1:21" s="3" customFormat="1" ht="30" customHeight="1" thickBot="1">
      <c r="A19" s="102">
        <v>4</v>
      </c>
      <c r="B19" s="107">
        <v>745000</v>
      </c>
      <c r="C19" s="108"/>
      <c r="D19" s="364" t="s">
        <v>24</v>
      </c>
      <c r="E19" s="364"/>
      <c r="F19" s="15">
        <f>SUM(G19:K19)</f>
        <v>154500</v>
      </c>
      <c r="G19" s="16">
        <f>+G20</f>
        <v>0</v>
      </c>
      <c r="H19" s="16">
        <f>+H20</f>
        <v>0</v>
      </c>
      <c r="I19" s="18"/>
      <c r="J19" s="18"/>
      <c r="K19" s="15">
        <f>+K20+9500</f>
        <v>154500</v>
      </c>
      <c r="L19" s="15">
        <f>SUM(M19:Q19)</f>
        <v>154500</v>
      </c>
      <c r="M19" s="16">
        <f>+M20</f>
        <v>0</v>
      </c>
      <c r="N19" s="16">
        <f>+N20</f>
        <v>0</v>
      </c>
      <c r="O19" s="18"/>
      <c r="P19" s="18"/>
      <c r="Q19" s="15">
        <f>+Q20+9500</f>
        <v>154500</v>
      </c>
      <c r="R19" s="58"/>
      <c r="S19" s="58"/>
      <c r="T19" s="58"/>
      <c r="U19" s="226"/>
    </row>
    <row r="20" spans="1:21" s="3" customFormat="1" ht="30" customHeight="1" hidden="1" thickBot="1">
      <c r="A20" s="111"/>
      <c r="B20" s="112"/>
      <c r="C20" s="112"/>
      <c r="D20" s="113">
        <v>745160</v>
      </c>
      <c r="E20" s="114" t="s">
        <v>25</v>
      </c>
      <c r="F20" s="21">
        <f>SUM(G20:K20)</f>
        <v>145000</v>
      </c>
      <c r="G20" s="22"/>
      <c r="H20" s="21"/>
      <c r="I20" s="23"/>
      <c r="J20" s="23"/>
      <c r="K20" s="21">
        <v>145000</v>
      </c>
      <c r="L20" s="21">
        <f>SUM(M20:Q20)</f>
        <v>145000</v>
      </c>
      <c r="M20" s="22"/>
      <c r="N20" s="21"/>
      <c r="O20" s="23"/>
      <c r="P20" s="23"/>
      <c r="Q20" s="21">
        <v>145000</v>
      </c>
      <c r="R20" s="59"/>
      <c r="S20" s="59"/>
      <c r="T20" s="59"/>
      <c r="U20" s="226"/>
    </row>
    <row r="21" spans="1:21" s="3" customFormat="1" ht="41.25" customHeight="1" thickBot="1" thickTop="1">
      <c r="A21" s="115" t="s">
        <v>26</v>
      </c>
      <c r="B21" s="116">
        <v>771100</v>
      </c>
      <c r="C21" s="117"/>
      <c r="D21" s="383" t="s">
        <v>27</v>
      </c>
      <c r="E21" s="383"/>
      <c r="F21" s="11">
        <f>+G21+H21+I21+K21</f>
        <v>4144316</v>
      </c>
      <c r="G21" s="11">
        <f>+G22</f>
        <v>1512</v>
      </c>
      <c r="H21" s="11">
        <f>+H22</f>
        <v>642804</v>
      </c>
      <c r="I21" s="12">
        <f>+I22</f>
        <v>3500000</v>
      </c>
      <c r="J21" s="12"/>
      <c r="K21" s="11">
        <f>+K22</f>
        <v>0</v>
      </c>
      <c r="L21" s="11">
        <f>+M21+N21+O21+Q21</f>
        <v>4144316</v>
      </c>
      <c r="M21" s="11">
        <f>+M22</f>
        <v>1512</v>
      </c>
      <c r="N21" s="11">
        <f>+N22</f>
        <v>642804</v>
      </c>
      <c r="O21" s="12">
        <f>+O22</f>
        <v>3500000</v>
      </c>
      <c r="P21" s="12"/>
      <c r="Q21" s="11">
        <f>+Q22</f>
        <v>0</v>
      </c>
      <c r="R21" s="58"/>
      <c r="S21" s="58"/>
      <c r="T21" s="58"/>
      <c r="U21" s="226"/>
    </row>
    <row r="22" spans="1:21" s="3" customFormat="1" ht="30" customHeight="1" hidden="1" thickBot="1" thickTop="1">
      <c r="A22" s="115"/>
      <c r="B22" s="116"/>
      <c r="C22" s="117"/>
      <c r="D22" s="118">
        <v>771111</v>
      </c>
      <c r="E22" s="119" t="s">
        <v>28</v>
      </c>
      <c r="F22" s="24">
        <f>+G22+H22+I22</f>
        <v>4144316</v>
      </c>
      <c r="G22" s="25">
        <v>1512</v>
      </c>
      <c r="H22" s="24">
        <v>642804</v>
      </c>
      <c r="I22" s="26">
        <v>3500000</v>
      </c>
      <c r="J22" s="26"/>
      <c r="K22" s="13"/>
      <c r="L22" s="24">
        <f>+M22+N22+O22</f>
        <v>4144316</v>
      </c>
      <c r="M22" s="25">
        <v>1512</v>
      </c>
      <c r="N22" s="24">
        <v>642804</v>
      </c>
      <c r="O22" s="26">
        <v>3500000</v>
      </c>
      <c r="P22" s="26"/>
      <c r="Q22" s="13"/>
      <c r="R22" s="58"/>
      <c r="S22" s="58"/>
      <c r="T22" s="58"/>
      <c r="U22" s="226"/>
    </row>
    <row r="23" spans="1:21" s="3" customFormat="1" ht="35.25" customHeight="1" thickBot="1" thickTop="1">
      <c r="A23" s="97" t="s">
        <v>29</v>
      </c>
      <c r="B23" s="245" t="s">
        <v>141</v>
      </c>
      <c r="C23" s="245"/>
      <c r="D23" s="390" t="s">
        <v>30</v>
      </c>
      <c r="E23" s="390"/>
      <c r="F23" s="241">
        <f>SUM(G23:K23)</f>
        <v>680878569</v>
      </c>
      <c r="G23" s="242"/>
      <c r="H23" s="242"/>
      <c r="I23" s="243">
        <f>457084000+13154000+47867000+15827000+24612000+86776000+2487000+3859000+8518558+11116514+2624410+1664169+1330083+3447631+511204</f>
        <v>680878569</v>
      </c>
      <c r="J23" s="243"/>
      <c r="K23" s="242"/>
      <c r="L23" s="241">
        <f>SUM(M23:Q23)</f>
        <v>762961305.77</v>
      </c>
      <c r="M23" s="242"/>
      <c r="N23" s="242"/>
      <c r="O23" s="243">
        <f>762408221.77-O13+1904270</f>
        <v>762961305.77</v>
      </c>
      <c r="P23" s="243"/>
      <c r="Q23" s="242"/>
      <c r="R23" s="78"/>
      <c r="S23" s="78"/>
      <c r="T23" s="78"/>
      <c r="U23" s="226"/>
    </row>
    <row r="24" spans="1:21" s="3" customFormat="1" ht="35.25" customHeight="1" thickBot="1" thickTop="1">
      <c r="A24" s="97" t="s">
        <v>31</v>
      </c>
      <c r="B24" s="239">
        <v>791111</v>
      </c>
      <c r="C24" s="240"/>
      <c r="D24" s="390" t="s">
        <v>32</v>
      </c>
      <c r="E24" s="390"/>
      <c r="F24" s="241">
        <f>SUM(G24:K24)</f>
        <v>11000000</v>
      </c>
      <c r="G24" s="242"/>
      <c r="H24" s="242">
        <v>11000000</v>
      </c>
      <c r="I24" s="243"/>
      <c r="J24" s="243"/>
      <c r="K24" s="242"/>
      <c r="L24" s="241">
        <f>SUM(M24:Q24)</f>
        <v>11771375</v>
      </c>
      <c r="M24" s="242">
        <v>771375</v>
      </c>
      <c r="N24" s="242">
        <v>11000000</v>
      </c>
      <c r="O24" s="243"/>
      <c r="P24" s="243"/>
      <c r="Q24" s="242"/>
      <c r="R24" s="78"/>
      <c r="S24" s="78"/>
      <c r="T24" s="78"/>
      <c r="U24" s="226"/>
    </row>
    <row r="25" spans="1:21" s="3" customFormat="1" ht="33.75" customHeight="1" thickTop="1">
      <c r="A25" s="384" t="s">
        <v>33</v>
      </c>
      <c r="B25" s="384"/>
      <c r="C25" s="384"/>
      <c r="D25" s="384"/>
      <c r="E25" s="384"/>
      <c r="F25" s="27">
        <f>+G25+H25+I25+K25+J25</f>
        <v>716627385</v>
      </c>
      <c r="G25" s="27">
        <f>+G11+G23+G24+G22</f>
        <v>1512</v>
      </c>
      <c r="H25" s="27">
        <f>+H11+H23+H24+H22</f>
        <v>11642804</v>
      </c>
      <c r="I25" s="27">
        <f>+I11+I23+I24+I21</f>
        <v>685028569</v>
      </c>
      <c r="J25" s="27"/>
      <c r="K25" s="27">
        <f>+K11+K21</f>
        <v>19954500</v>
      </c>
      <c r="L25" s="27">
        <f>+M25+N25+O25+Q25+P25</f>
        <v>800522682.77</v>
      </c>
      <c r="M25" s="27">
        <f>+M11+M23+M24+M22</f>
        <v>772887</v>
      </c>
      <c r="N25" s="27">
        <f>+N11+N23+N24+N22</f>
        <v>11642804</v>
      </c>
      <c r="O25" s="27">
        <f>+O11+O23+O24+O21</f>
        <v>767812491.77</v>
      </c>
      <c r="P25" s="27"/>
      <c r="Q25" s="27">
        <f>+Q11+Q21</f>
        <v>20294500</v>
      </c>
      <c r="R25" s="29"/>
      <c r="S25" s="29"/>
      <c r="T25" s="29"/>
      <c r="U25" s="226"/>
    </row>
    <row r="26" spans="1:21" s="3" customFormat="1" ht="26.25" customHeight="1">
      <c r="A26" s="28"/>
      <c r="B26" s="28"/>
      <c r="C26" s="28"/>
      <c r="D26" s="28"/>
      <c r="E26" s="28"/>
      <c r="F26" s="29"/>
      <c r="G26" s="29"/>
      <c r="H26" s="29"/>
      <c r="I26" s="29"/>
      <c r="J26" s="29"/>
      <c r="K26" s="29"/>
      <c r="L26" s="29"/>
      <c r="U26" s="226"/>
    </row>
    <row r="27" spans="1:21" s="3" customFormat="1" ht="26.25" customHeight="1">
      <c r="A27" s="28"/>
      <c r="B27" s="28"/>
      <c r="C27" s="28"/>
      <c r="D27" s="28"/>
      <c r="E27" s="28"/>
      <c r="F27" s="29"/>
      <c r="G27" s="29"/>
      <c r="H27" s="29"/>
      <c r="I27" s="29"/>
      <c r="J27" s="29"/>
      <c r="K27" s="29"/>
      <c r="L27" s="29"/>
      <c r="U27" s="226"/>
    </row>
    <row r="28" spans="1:21" s="3" customFormat="1" ht="26.25" customHeight="1">
      <c r="A28" s="28"/>
      <c r="B28" s="28"/>
      <c r="C28" s="28"/>
      <c r="D28" s="28"/>
      <c r="E28" s="28"/>
      <c r="F28" s="29"/>
      <c r="G28" s="29"/>
      <c r="H28" s="29"/>
      <c r="I28" s="29"/>
      <c r="J28" s="29"/>
      <c r="K28" s="29"/>
      <c r="L28" s="29"/>
      <c r="U28" s="226"/>
    </row>
    <row r="29" spans="1:21" s="3" customFormat="1" ht="26.25" customHeight="1">
      <c r="A29" s="28"/>
      <c r="B29" s="28"/>
      <c r="C29" s="28"/>
      <c r="D29" s="28"/>
      <c r="E29" s="28"/>
      <c r="F29" s="29"/>
      <c r="G29" s="29"/>
      <c r="H29" s="29"/>
      <c r="I29" s="29"/>
      <c r="J29" s="29"/>
      <c r="K29" s="29"/>
      <c r="L29" s="29"/>
      <c r="U29" s="226"/>
    </row>
    <row r="30" spans="1:21" s="3" customFormat="1" ht="26.25" customHeight="1">
      <c r="A30" s="28"/>
      <c r="B30" s="28"/>
      <c r="C30" s="28"/>
      <c r="D30" s="28"/>
      <c r="E30" s="28"/>
      <c r="F30" s="29"/>
      <c r="G30" s="29"/>
      <c r="H30" s="29"/>
      <c r="I30" s="29"/>
      <c r="J30" s="29"/>
      <c r="K30" s="29"/>
      <c r="L30" s="29"/>
      <c r="U30" s="226"/>
    </row>
    <row r="31" spans="1:21" s="3" customFormat="1" ht="26.25" customHeight="1">
      <c r="A31" s="28"/>
      <c r="B31" s="28"/>
      <c r="C31" s="28"/>
      <c r="D31" s="28"/>
      <c r="E31" s="28"/>
      <c r="F31" s="29"/>
      <c r="G31" s="29"/>
      <c r="H31" s="29"/>
      <c r="I31" s="29"/>
      <c r="J31" s="29"/>
      <c r="K31" s="29"/>
      <c r="L31" s="29"/>
      <c r="U31" s="226"/>
    </row>
    <row r="32" spans="1:21" s="3" customFormat="1" ht="26.25" customHeight="1">
      <c r="A32" s="28"/>
      <c r="B32" s="28"/>
      <c r="C32" s="28"/>
      <c r="D32" s="28"/>
      <c r="E32" s="28"/>
      <c r="F32" s="29"/>
      <c r="G32" s="29"/>
      <c r="H32" s="29"/>
      <c r="I32" s="29"/>
      <c r="J32" s="29"/>
      <c r="K32" s="29"/>
      <c r="L32" s="29"/>
      <c r="U32" s="226"/>
    </row>
    <row r="33" spans="1:21" s="3" customFormat="1" ht="26.25" customHeight="1">
      <c r="A33" s="28"/>
      <c r="B33" s="28"/>
      <c r="C33" s="28"/>
      <c r="D33" s="28"/>
      <c r="E33" s="28"/>
      <c r="F33" s="29"/>
      <c r="G33" s="29"/>
      <c r="H33" s="29"/>
      <c r="I33" s="29"/>
      <c r="J33" s="29"/>
      <c r="K33" s="29"/>
      <c r="L33" s="29"/>
      <c r="U33" s="226"/>
    </row>
    <row r="34" spans="1:21" s="3" customFormat="1" ht="26.25" customHeight="1">
      <c r="A34" s="28"/>
      <c r="B34" s="28"/>
      <c r="C34" s="28"/>
      <c r="D34" s="28"/>
      <c r="E34" s="28"/>
      <c r="F34" s="29"/>
      <c r="G34" s="29"/>
      <c r="H34" s="29"/>
      <c r="I34" s="29"/>
      <c r="J34" s="29"/>
      <c r="K34" s="29"/>
      <c r="L34" s="29"/>
      <c r="U34" s="226"/>
    </row>
    <row r="35" spans="1:21" s="3" customFormat="1" ht="26.25" customHeight="1">
      <c r="A35" s="28"/>
      <c r="B35" s="28"/>
      <c r="C35" s="28"/>
      <c r="D35" s="28"/>
      <c r="E35" s="28"/>
      <c r="F35" s="29"/>
      <c r="G35" s="29"/>
      <c r="H35" s="29"/>
      <c r="I35" s="29"/>
      <c r="J35" s="29"/>
      <c r="K35" s="29"/>
      <c r="L35" s="29"/>
      <c r="U35" s="226"/>
    </row>
    <row r="36" spans="1:21" s="3" customFormat="1" ht="4.5" customHeight="1">
      <c r="A36" s="28"/>
      <c r="B36" s="28"/>
      <c r="C36" s="28"/>
      <c r="D36" s="28"/>
      <c r="E36" s="28"/>
      <c r="F36" s="30"/>
      <c r="G36" s="1"/>
      <c r="U36" s="226"/>
    </row>
    <row r="37" spans="1:23" s="3" customFormat="1" ht="42" customHeight="1">
      <c r="A37" s="91" t="s">
        <v>34</v>
      </c>
      <c r="B37" s="31"/>
      <c r="C37" s="31"/>
      <c r="D37" s="4"/>
      <c r="E37" s="5"/>
      <c r="F37" s="1"/>
      <c r="G37" s="1"/>
      <c r="U37" s="226"/>
      <c r="V37" s="3">
        <f>4400*2+5300</f>
        <v>14100</v>
      </c>
      <c r="W37" s="3">
        <v>16000</v>
      </c>
    </row>
    <row r="38" spans="1:21" s="3" customFormat="1" ht="12" customHeight="1">
      <c r="A38" s="382" t="s">
        <v>2</v>
      </c>
      <c r="B38" s="380" t="s">
        <v>35</v>
      </c>
      <c r="C38" s="382" t="s">
        <v>4</v>
      </c>
      <c r="D38" s="380" t="s">
        <v>5</v>
      </c>
      <c r="E38" s="380" t="s">
        <v>6</v>
      </c>
      <c r="F38" s="373" t="s">
        <v>36</v>
      </c>
      <c r="G38" s="374"/>
      <c r="H38" s="374"/>
      <c r="I38" s="374"/>
      <c r="J38" s="374"/>
      <c r="K38" s="375"/>
      <c r="L38" s="373" t="s">
        <v>465</v>
      </c>
      <c r="M38" s="374"/>
      <c r="N38" s="374"/>
      <c r="O38" s="374"/>
      <c r="P38" s="374"/>
      <c r="Q38" s="375"/>
      <c r="R38" s="57"/>
      <c r="S38" s="57"/>
      <c r="T38" s="57"/>
      <c r="U38" s="226"/>
    </row>
    <row r="39" spans="1:21" s="3" customFormat="1" ht="12" customHeight="1">
      <c r="A39" s="382"/>
      <c r="B39" s="380"/>
      <c r="C39" s="382"/>
      <c r="D39" s="380"/>
      <c r="E39" s="380"/>
      <c r="F39" s="376" t="s">
        <v>8</v>
      </c>
      <c r="G39" s="378" t="s">
        <v>37</v>
      </c>
      <c r="H39" s="378"/>
      <c r="I39" s="378"/>
      <c r="J39" s="378" t="s">
        <v>11</v>
      </c>
      <c r="K39" s="380" t="s">
        <v>10</v>
      </c>
      <c r="L39" s="376" t="s">
        <v>8</v>
      </c>
      <c r="M39" s="378" t="s">
        <v>37</v>
      </c>
      <c r="N39" s="378"/>
      <c r="O39" s="378"/>
      <c r="P39" s="378" t="s">
        <v>11</v>
      </c>
      <c r="Q39" s="380" t="s">
        <v>10</v>
      </c>
      <c r="R39" s="57"/>
      <c r="S39" s="57"/>
      <c r="T39" s="57"/>
      <c r="U39" s="226"/>
    </row>
    <row r="40" spans="1:23" s="3" customFormat="1" ht="42" customHeight="1">
      <c r="A40" s="382"/>
      <c r="B40" s="380"/>
      <c r="C40" s="382"/>
      <c r="D40" s="380"/>
      <c r="E40" s="380"/>
      <c r="F40" s="377"/>
      <c r="G40" s="71" t="s">
        <v>12</v>
      </c>
      <c r="H40" s="10" t="s">
        <v>13</v>
      </c>
      <c r="I40" s="10" t="s">
        <v>14</v>
      </c>
      <c r="J40" s="379"/>
      <c r="K40" s="381"/>
      <c r="L40" s="377"/>
      <c r="M40" s="71" t="s">
        <v>12</v>
      </c>
      <c r="N40" s="10" t="s">
        <v>13</v>
      </c>
      <c r="O40" s="10" t="s">
        <v>14</v>
      </c>
      <c r="P40" s="379"/>
      <c r="Q40" s="381"/>
      <c r="R40" s="57"/>
      <c r="S40" s="57"/>
      <c r="T40" s="57"/>
      <c r="U40" s="226" t="s">
        <v>445</v>
      </c>
      <c r="V40" s="3" t="s">
        <v>446</v>
      </c>
      <c r="W40" s="3">
        <f>+V42*0.85</f>
        <v>509483437.69399995</v>
      </c>
    </row>
    <row r="41" spans="1:21" s="223" customFormat="1" ht="12" customHeight="1">
      <c r="A41" s="69">
        <v>0</v>
      </c>
      <c r="B41" s="69">
        <v>1</v>
      </c>
      <c r="C41" s="69">
        <v>2</v>
      </c>
      <c r="D41" s="69">
        <v>3</v>
      </c>
      <c r="E41" s="70">
        <v>4</v>
      </c>
      <c r="F41" s="221" t="s">
        <v>15</v>
      </c>
      <c r="G41" s="221">
        <v>6</v>
      </c>
      <c r="H41" s="221">
        <v>7</v>
      </c>
      <c r="I41" s="221">
        <v>8</v>
      </c>
      <c r="J41" s="221">
        <v>9</v>
      </c>
      <c r="K41" s="222">
        <v>10</v>
      </c>
      <c r="L41" s="221" t="s">
        <v>439</v>
      </c>
      <c r="M41" s="221">
        <v>12</v>
      </c>
      <c r="N41" s="221">
        <v>13</v>
      </c>
      <c r="O41" s="221">
        <v>14</v>
      </c>
      <c r="P41" s="221">
        <v>15</v>
      </c>
      <c r="Q41" s="222">
        <v>16</v>
      </c>
      <c r="R41" s="321"/>
      <c r="S41" s="321"/>
      <c r="T41" s="321"/>
      <c r="U41" s="227"/>
    </row>
    <row r="42" spans="1:23" s="3" customFormat="1" ht="21" customHeight="1" thickBot="1">
      <c r="A42" s="372" t="s">
        <v>38</v>
      </c>
      <c r="B42" s="372"/>
      <c r="C42" s="372"/>
      <c r="D42" s="372"/>
      <c r="E42" s="3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60"/>
      <c r="S42" s="60"/>
      <c r="T42" s="60"/>
      <c r="U42" s="226"/>
      <c r="V42" s="3">
        <v>599392279.64</v>
      </c>
      <c r="W42" s="3">
        <f>+V42-W40</f>
        <v>89908841.94600004</v>
      </c>
    </row>
    <row r="43" spans="1:23" s="3" customFormat="1" ht="28.5" customHeight="1" thickBot="1" thickTop="1">
      <c r="A43" s="97" t="s">
        <v>16</v>
      </c>
      <c r="B43" s="122">
        <v>410000</v>
      </c>
      <c r="C43" s="122"/>
      <c r="D43" s="363" t="s">
        <v>39</v>
      </c>
      <c r="E43" s="363"/>
      <c r="F43" s="12">
        <f>SUM(G43:K43)</f>
        <v>585279749.17</v>
      </c>
      <c r="G43" s="12">
        <f>+G44+G46+G49+G52+G63+G67</f>
        <v>1512</v>
      </c>
      <c r="H43" s="12">
        <f>+H44+H46+H49+H52+H63+H67</f>
        <v>642804</v>
      </c>
      <c r="I43" s="12">
        <f>+I44+I46+I49+I52+I63+I67</f>
        <v>573967513.56</v>
      </c>
      <c r="J43" s="12"/>
      <c r="K43" s="12">
        <f>+K44+K46+K49+K52+K63+K67</f>
        <v>10667919.61</v>
      </c>
      <c r="L43" s="12">
        <f>SUM(M43:Q43)</f>
        <v>647135903.61</v>
      </c>
      <c r="M43" s="12">
        <f>+M44+M46+M49+M52+M63+M67</f>
        <v>1512</v>
      </c>
      <c r="N43" s="12">
        <f>+N44+N46+N49+N52+N63+N67</f>
        <v>642804</v>
      </c>
      <c r="O43" s="12">
        <f>+O44+O46+O49+O52+O63+O67</f>
        <v>637073668</v>
      </c>
      <c r="P43" s="12"/>
      <c r="Q43" s="12">
        <f>+Q44+Q46+Q49+Q52+Q63+Q67</f>
        <v>9417919.61</v>
      </c>
      <c r="R43" s="61"/>
      <c r="S43" s="61"/>
      <c r="T43" s="61"/>
      <c r="U43" s="226"/>
      <c r="V43" s="3">
        <f>+V42*0.85</f>
        <v>509483437.69399995</v>
      </c>
      <c r="W43" s="3">
        <v>509483437.69399995</v>
      </c>
    </row>
    <row r="44" spans="1:21" s="3" customFormat="1" ht="30" customHeight="1" thickTop="1">
      <c r="A44" s="123">
        <v>1</v>
      </c>
      <c r="B44" s="124">
        <v>411100</v>
      </c>
      <c r="C44" s="125" t="s">
        <v>40</v>
      </c>
      <c r="D44" s="394" t="s">
        <v>41</v>
      </c>
      <c r="E44" s="394"/>
      <c r="F44" s="252">
        <f>SUM(G44:K44)</f>
        <v>465774481</v>
      </c>
      <c r="G44" s="253"/>
      <c r="H44" s="253"/>
      <c r="I44" s="252">
        <f>+I45</f>
        <v>458526532</v>
      </c>
      <c r="J44" s="252"/>
      <c r="K44" s="252">
        <f>+K45</f>
        <v>7247949</v>
      </c>
      <c r="L44" s="252">
        <f>SUM(M44:Q44)</f>
        <v>516731387</v>
      </c>
      <c r="M44" s="253"/>
      <c r="N44" s="253"/>
      <c r="O44" s="252">
        <f>+O45</f>
        <v>509483438</v>
      </c>
      <c r="P44" s="252"/>
      <c r="Q44" s="252">
        <f>+Q45</f>
        <v>7247949</v>
      </c>
      <c r="R44" s="61"/>
      <c r="S44" s="61"/>
      <c r="T44" s="61"/>
      <c r="U44" s="226"/>
    </row>
    <row r="45" spans="1:24" s="3" customFormat="1" ht="26.25" customHeight="1" hidden="1">
      <c r="A45" s="126"/>
      <c r="B45" s="127"/>
      <c r="C45" s="128" t="s">
        <v>42</v>
      </c>
      <c r="D45" s="248">
        <v>411100</v>
      </c>
      <c r="E45" s="249" t="s">
        <v>43</v>
      </c>
      <c r="F45" s="250">
        <f>SUM(G45:K45)</f>
        <v>465774481</v>
      </c>
      <c r="G45" s="251"/>
      <c r="H45" s="251"/>
      <c r="I45" s="251">
        <v>458526532</v>
      </c>
      <c r="J45" s="251"/>
      <c r="K45" s="251">
        <f>5168000+207000-150000+1064229+340000+420000+920+197800</f>
        <v>7247949</v>
      </c>
      <c r="L45" s="250">
        <f>SUM(M45:Q45)</f>
        <v>516731387</v>
      </c>
      <c r="M45" s="251"/>
      <c r="N45" s="251"/>
      <c r="O45" s="251">
        <v>509483438</v>
      </c>
      <c r="P45" s="251"/>
      <c r="Q45" s="251">
        <f>5168000+207000-150000+1064229+340000+420000+920+197800</f>
        <v>7247949</v>
      </c>
      <c r="R45" s="79"/>
      <c r="S45" s="79"/>
      <c r="T45" s="79"/>
      <c r="U45" s="226"/>
      <c r="W45" s="43"/>
      <c r="X45" s="43"/>
    </row>
    <row r="46" spans="1:24" s="3" customFormat="1" ht="30" customHeight="1">
      <c r="A46" s="129">
        <v>2</v>
      </c>
      <c r="B46" s="102">
        <v>412100</v>
      </c>
      <c r="C46" s="130" t="s">
        <v>44</v>
      </c>
      <c r="D46" s="395" t="s">
        <v>45</v>
      </c>
      <c r="E46" s="395"/>
      <c r="F46" s="254">
        <f>SUM(G46:K46)</f>
        <v>86788438.61</v>
      </c>
      <c r="G46" s="255"/>
      <c r="H46" s="254"/>
      <c r="I46" s="254">
        <f>+I47+I48</f>
        <v>85333468</v>
      </c>
      <c r="J46" s="254"/>
      <c r="K46" s="254">
        <f>+K47+K48</f>
        <v>1454970.6099999999</v>
      </c>
      <c r="L46" s="254">
        <f>SUM(M46:Q46)</f>
        <v>91363812.61</v>
      </c>
      <c r="M46" s="255"/>
      <c r="N46" s="254"/>
      <c r="O46" s="254">
        <f>+O47+O48</f>
        <v>89908842</v>
      </c>
      <c r="P46" s="254"/>
      <c r="Q46" s="254">
        <f>+Q47+Q48</f>
        <v>1454970.6099999999</v>
      </c>
      <c r="R46" s="61"/>
      <c r="S46" s="61"/>
      <c r="T46" s="61"/>
      <c r="U46" s="226"/>
      <c r="W46" s="43"/>
      <c r="X46" s="43"/>
    </row>
    <row r="47" spans="1:24" s="3" customFormat="1" ht="29.25" customHeight="1" hidden="1">
      <c r="A47" s="132"/>
      <c r="B47" s="133"/>
      <c r="C47" s="128" t="s">
        <v>46</v>
      </c>
      <c r="D47" s="256">
        <v>412100</v>
      </c>
      <c r="E47" s="257" t="s">
        <v>47</v>
      </c>
      <c r="F47" s="250">
        <f>+G47+I47+K47</f>
        <v>59130606.38</v>
      </c>
      <c r="G47" s="258"/>
      <c r="H47" s="250"/>
      <c r="I47" s="250">
        <v>58173756</v>
      </c>
      <c r="J47" s="250"/>
      <c r="K47" s="250">
        <f>621817+125520-50680.62+141895+40903+52396+25000</f>
        <v>956850.38</v>
      </c>
      <c r="L47" s="250">
        <f>+M47+O47+Q47</f>
        <v>62249742.38</v>
      </c>
      <c r="M47" s="258"/>
      <c r="N47" s="250"/>
      <c r="O47" s="250">
        <v>61292892</v>
      </c>
      <c r="P47" s="250"/>
      <c r="Q47" s="250">
        <f>621817+125520-50680.62+141895+40903+52396+25000</f>
        <v>956850.38</v>
      </c>
      <c r="R47" s="64"/>
      <c r="S47" s="64"/>
      <c r="T47" s="64"/>
      <c r="U47" s="226"/>
      <c r="V47" s="43">
        <f>+O47/O46</f>
        <v>0.6817226274585986</v>
      </c>
      <c r="W47" s="43">
        <v>61292891.94726238</v>
      </c>
      <c r="X47" s="43"/>
    </row>
    <row r="48" spans="1:24" s="3" customFormat="1" ht="19.5" customHeight="1" hidden="1">
      <c r="A48" s="132"/>
      <c r="B48" s="133"/>
      <c r="C48" s="128" t="s">
        <v>48</v>
      </c>
      <c r="D48" s="256">
        <v>412200</v>
      </c>
      <c r="E48" s="257" t="s">
        <v>49</v>
      </c>
      <c r="F48" s="250">
        <f>+G48+I48+K48</f>
        <v>27657832.23</v>
      </c>
      <c r="G48" s="258"/>
      <c r="H48" s="250"/>
      <c r="I48" s="250">
        <v>27159712</v>
      </c>
      <c r="J48" s="250"/>
      <c r="K48" s="250">
        <f>253295+89285-20612.77+65579+56673+19097+27604+7200</f>
        <v>498120.23</v>
      </c>
      <c r="L48" s="250">
        <f>+M48+O48+Q48</f>
        <v>29114070.23</v>
      </c>
      <c r="M48" s="258"/>
      <c r="N48" s="250"/>
      <c r="O48" s="250">
        <v>28615950</v>
      </c>
      <c r="P48" s="250"/>
      <c r="Q48" s="250">
        <f>253295+89285-20612.77+65579+56673+19097+27604+7200</f>
        <v>498120.23</v>
      </c>
      <c r="R48" s="64"/>
      <c r="S48" s="64"/>
      <c r="T48" s="64"/>
      <c r="U48" s="226"/>
      <c r="V48" s="43">
        <f>+O48/O46</f>
        <v>0.3182773725414014</v>
      </c>
      <c r="W48" s="43">
        <v>28615949.998737667</v>
      </c>
      <c r="X48" s="43"/>
    </row>
    <row r="49" spans="1:24" s="3" customFormat="1" ht="25.5" customHeight="1">
      <c r="A49" s="134">
        <v>3</v>
      </c>
      <c r="B49" s="135">
        <v>413100</v>
      </c>
      <c r="C49" s="129" t="s">
        <v>50</v>
      </c>
      <c r="D49" s="393" t="s">
        <v>51</v>
      </c>
      <c r="E49" s="393"/>
      <c r="F49" s="324">
        <f aca="true" t="shared" si="0" ref="F49:F56">SUM(G49:K49)</f>
        <v>250000</v>
      </c>
      <c r="G49" s="328"/>
      <c r="H49" s="324"/>
      <c r="I49" s="324">
        <f>+I50</f>
        <v>215000</v>
      </c>
      <c r="J49" s="324"/>
      <c r="K49" s="324">
        <f>+K50+K51</f>
        <v>35000</v>
      </c>
      <c r="L49" s="324">
        <f aca="true" t="shared" si="1" ref="L49:L56">SUM(M49:Q49)</f>
        <v>2054270</v>
      </c>
      <c r="M49" s="328"/>
      <c r="N49" s="324"/>
      <c r="O49" s="324">
        <f>+O50+O51</f>
        <v>2019270</v>
      </c>
      <c r="P49" s="324"/>
      <c r="Q49" s="324">
        <f>+Q50+Q51</f>
        <v>35000</v>
      </c>
      <c r="R49" s="61"/>
      <c r="S49" s="61"/>
      <c r="T49" s="61"/>
      <c r="U49" s="226"/>
      <c r="W49" s="43"/>
      <c r="X49" s="43"/>
    </row>
    <row r="50" spans="1:24" s="3" customFormat="1" ht="19.5" customHeight="1" hidden="1">
      <c r="A50" s="136"/>
      <c r="B50" s="137"/>
      <c r="C50" s="136" t="s">
        <v>52</v>
      </c>
      <c r="D50" s="248">
        <v>413151</v>
      </c>
      <c r="E50" s="249" t="s">
        <v>53</v>
      </c>
      <c r="F50" s="250">
        <f t="shared" si="0"/>
        <v>250000</v>
      </c>
      <c r="G50" s="251"/>
      <c r="H50" s="251"/>
      <c r="I50" s="251">
        <v>215000</v>
      </c>
      <c r="J50" s="251"/>
      <c r="K50" s="251">
        <v>35000</v>
      </c>
      <c r="L50" s="250">
        <f t="shared" si="1"/>
        <v>150000</v>
      </c>
      <c r="M50" s="251"/>
      <c r="N50" s="251"/>
      <c r="O50" s="251">
        <f>215000-100000</f>
        <v>115000</v>
      </c>
      <c r="P50" s="251"/>
      <c r="Q50" s="251">
        <v>35000</v>
      </c>
      <c r="R50" s="79"/>
      <c r="S50" s="79"/>
      <c r="T50" s="79"/>
      <c r="U50" s="226">
        <v>68616</v>
      </c>
      <c r="V50" s="3">
        <v>26526</v>
      </c>
      <c r="W50" s="43">
        <f aca="true" t="shared" si="2" ref="W50:W109">+U50/I50*100</f>
        <v>31.91441860465116</v>
      </c>
      <c r="X50" s="43">
        <f aca="true" t="shared" si="3" ref="X50:X109">+V50/K50*100</f>
        <v>75.78857142857143</v>
      </c>
    </row>
    <row r="51" spans="1:24" s="3" customFormat="1" ht="19.5" customHeight="1" hidden="1">
      <c r="A51" s="138"/>
      <c r="B51" s="137"/>
      <c r="C51" s="136" t="s">
        <v>54</v>
      </c>
      <c r="D51" s="231">
        <v>413142</v>
      </c>
      <c r="E51" s="356" t="s">
        <v>55</v>
      </c>
      <c r="F51" s="236">
        <f t="shared" si="0"/>
        <v>0</v>
      </c>
      <c r="G51" s="291"/>
      <c r="H51" s="291"/>
      <c r="I51" s="291"/>
      <c r="J51" s="291"/>
      <c r="K51" s="291"/>
      <c r="L51" s="236">
        <f t="shared" si="1"/>
        <v>1904270</v>
      </c>
      <c r="M51" s="291"/>
      <c r="N51" s="291"/>
      <c r="O51" s="291">
        <f>191*9970</f>
        <v>1904270</v>
      </c>
      <c r="P51" s="291"/>
      <c r="Q51" s="291"/>
      <c r="R51" s="79"/>
      <c r="S51" s="79"/>
      <c r="T51" s="79"/>
      <c r="U51" s="226"/>
      <c r="W51" s="43" t="e">
        <f t="shared" si="2"/>
        <v>#DIV/0!</v>
      </c>
      <c r="X51" s="43" t="e">
        <f t="shared" si="3"/>
        <v>#DIV/0!</v>
      </c>
    </row>
    <row r="52" spans="1:24" s="3" customFormat="1" ht="19.5" customHeight="1">
      <c r="A52" s="140">
        <v>4</v>
      </c>
      <c r="B52" s="141">
        <v>414000</v>
      </c>
      <c r="C52" s="142" t="s">
        <v>56</v>
      </c>
      <c r="D52" s="364" t="s">
        <v>57</v>
      </c>
      <c r="E52" s="364"/>
      <c r="F52" s="18">
        <f t="shared" si="0"/>
        <v>7678789</v>
      </c>
      <c r="G52" s="34">
        <f>+G53+G57</f>
        <v>1512</v>
      </c>
      <c r="H52" s="18">
        <f>+H53+H57</f>
        <v>642804</v>
      </c>
      <c r="I52" s="18">
        <f>+I53+I57</f>
        <v>6964473</v>
      </c>
      <c r="J52" s="18"/>
      <c r="K52" s="18">
        <f>+K53+K57+K60</f>
        <v>70000</v>
      </c>
      <c r="L52" s="18">
        <f t="shared" si="1"/>
        <v>14616982</v>
      </c>
      <c r="M52" s="34">
        <f>+M53+M57</f>
        <v>1512</v>
      </c>
      <c r="N52" s="18">
        <f>+N53+N57</f>
        <v>642804</v>
      </c>
      <c r="O52" s="18">
        <f>+O53+O57+O60</f>
        <v>13902666</v>
      </c>
      <c r="P52" s="18"/>
      <c r="Q52" s="18">
        <f>+Q53+Q57+Q60</f>
        <v>70000</v>
      </c>
      <c r="R52" s="61"/>
      <c r="S52" s="61"/>
      <c r="T52" s="61"/>
      <c r="U52" s="226"/>
      <c r="W52" s="43">
        <f t="shared" si="2"/>
        <v>0</v>
      </c>
      <c r="X52" s="43">
        <f t="shared" si="3"/>
        <v>0</v>
      </c>
    </row>
    <row r="53" spans="1:24" s="3" customFormat="1" ht="30" customHeight="1">
      <c r="A53" s="143"/>
      <c r="B53" s="107"/>
      <c r="C53" s="142" t="s">
        <v>58</v>
      </c>
      <c r="D53" s="107">
        <v>414100</v>
      </c>
      <c r="E53" s="144" t="s">
        <v>59</v>
      </c>
      <c r="F53" s="18">
        <f t="shared" si="0"/>
        <v>4144316</v>
      </c>
      <c r="G53" s="34">
        <f>+G54+G55+G56</f>
        <v>1512</v>
      </c>
      <c r="H53" s="18">
        <f>+H54</f>
        <v>642804</v>
      </c>
      <c r="I53" s="18">
        <f>+I54+I55</f>
        <v>3500000</v>
      </c>
      <c r="J53" s="18"/>
      <c r="K53" s="18"/>
      <c r="L53" s="18">
        <f t="shared" si="1"/>
        <v>4144316</v>
      </c>
      <c r="M53" s="34">
        <f>+M54+M55+M56</f>
        <v>1512</v>
      </c>
      <c r="N53" s="18">
        <f>+N54</f>
        <v>642804</v>
      </c>
      <c r="O53" s="18">
        <f>+O54+O55</f>
        <v>3500000</v>
      </c>
      <c r="P53" s="18"/>
      <c r="Q53" s="18"/>
      <c r="R53" s="61"/>
      <c r="S53" s="61"/>
      <c r="T53" s="61"/>
      <c r="U53" s="226"/>
      <c r="W53" s="43">
        <f t="shared" si="2"/>
        <v>0</v>
      </c>
      <c r="X53" s="43" t="e">
        <f t="shared" si="3"/>
        <v>#DIV/0!</v>
      </c>
    </row>
    <row r="54" spans="1:24" s="3" customFormat="1" ht="19.5" customHeight="1" hidden="1">
      <c r="A54" s="369"/>
      <c r="B54" s="146"/>
      <c r="C54" s="147" t="s">
        <v>142</v>
      </c>
      <c r="D54" s="105">
        <v>414111</v>
      </c>
      <c r="E54" s="148" t="s">
        <v>143</v>
      </c>
      <c r="F54" s="17">
        <f t="shared" si="0"/>
        <v>642804</v>
      </c>
      <c r="G54" s="34"/>
      <c r="H54" s="17">
        <v>642804</v>
      </c>
      <c r="I54" s="17"/>
      <c r="J54" s="17"/>
      <c r="K54" s="17"/>
      <c r="L54" s="17">
        <f t="shared" si="1"/>
        <v>642804</v>
      </c>
      <c r="M54" s="34"/>
      <c r="N54" s="17">
        <v>642804</v>
      </c>
      <c r="O54" s="17"/>
      <c r="P54" s="17"/>
      <c r="Q54" s="17"/>
      <c r="R54" s="64"/>
      <c r="S54" s="64"/>
      <c r="T54" s="64"/>
      <c r="U54" s="226"/>
      <c r="W54" s="43" t="e">
        <f t="shared" si="2"/>
        <v>#DIV/0!</v>
      </c>
      <c r="X54" s="43" t="e">
        <f t="shared" si="3"/>
        <v>#DIV/0!</v>
      </c>
    </row>
    <row r="55" spans="1:24" s="3" customFormat="1" ht="19.5" customHeight="1" hidden="1">
      <c r="A55" s="369"/>
      <c r="B55" s="146"/>
      <c r="C55" s="147" t="s">
        <v>144</v>
      </c>
      <c r="D55" s="105">
        <v>414121</v>
      </c>
      <c r="E55" s="148" t="s">
        <v>145</v>
      </c>
      <c r="F55" s="17">
        <f t="shared" si="0"/>
        <v>3500000</v>
      </c>
      <c r="G55" s="34"/>
      <c r="H55" s="18"/>
      <c r="I55" s="17">
        <v>3500000</v>
      </c>
      <c r="J55" s="17"/>
      <c r="K55" s="17"/>
      <c r="L55" s="17">
        <f t="shared" si="1"/>
        <v>3500000</v>
      </c>
      <c r="M55" s="34"/>
      <c r="N55" s="18"/>
      <c r="O55" s="17">
        <v>3500000</v>
      </c>
      <c r="P55" s="17"/>
      <c r="Q55" s="17"/>
      <c r="R55" s="64"/>
      <c r="S55" s="64"/>
      <c r="T55" s="64"/>
      <c r="U55" s="226"/>
      <c r="W55" s="43">
        <f t="shared" si="2"/>
        <v>0</v>
      </c>
      <c r="X55" s="43" t="e">
        <f t="shared" si="3"/>
        <v>#DIV/0!</v>
      </c>
    </row>
    <row r="56" spans="1:24" s="3" customFormat="1" ht="19.5" customHeight="1" hidden="1">
      <c r="A56" s="145"/>
      <c r="B56" s="146"/>
      <c r="C56" s="147" t="s">
        <v>146</v>
      </c>
      <c r="D56" s="105">
        <v>414131</v>
      </c>
      <c r="E56" s="148" t="s">
        <v>147</v>
      </c>
      <c r="F56" s="17">
        <f t="shared" si="0"/>
        <v>1512</v>
      </c>
      <c r="G56" s="35">
        <v>1512</v>
      </c>
      <c r="H56" s="18"/>
      <c r="I56" s="17"/>
      <c r="J56" s="17"/>
      <c r="K56" s="17"/>
      <c r="L56" s="17">
        <f t="shared" si="1"/>
        <v>1512</v>
      </c>
      <c r="M56" s="35">
        <v>1512</v>
      </c>
      <c r="N56" s="18"/>
      <c r="O56" s="17"/>
      <c r="P56" s="17"/>
      <c r="Q56" s="17"/>
      <c r="R56" s="64"/>
      <c r="S56" s="64"/>
      <c r="T56" s="64"/>
      <c r="U56" s="226"/>
      <c r="W56" s="43" t="e">
        <f t="shared" si="2"/>
        <v>#DIV/0!</v>
      </c>
      <c r="X56" s="43" t="e">
        <f t="shared" si="3"/>
        <v>#DIV/0!</v>
      </c>
    </row>
    <row r="57" spans="1:24" s="3" customFormat="1" ht="29.25" customHeight="1">
      <c r="A57" s="145"/>
      <c r="B57" s="149"/>
      <c r="C57" s="273" t="s">
        <v>60</v>
      </c>
      <c r="D57" s="274">
        <v>414300</v>
      </c>
      <c r="E57" s="275" t="s">
        <v>61</v>
      </c>
      <c r="F57" s="254">
        <f>+G57+H57+I57+K57</f>
        <v>3464473</v>
      </c>
      <c r="G57" s="255"/>
      <c r="H57" s="254"/>
      <c r="I57" s="254">
        <f>+I58+I59</f>
        <v>3464473</v>
      </c>
      <c r="J57" s="254"/>
      <c r="K57" s="254"/>
      <c r="L57" s="254">
        <f>+M57+N57+O57+Q57</f>
        <v>3918473</v>
      </c>
      <c r="M57" s="255"/>
      <c r="N57" s="254"/>
      <c r="O57" s="254">
        <f>+O58+O59</f>
        <v>3918473</v>
      </c>
      <c r="P57" s="254"/>
      <c r="Q57" s="254"/>
      <c r="R57" s="61"/>
      <c r="S57" s="61"/>
      <c r="T57" s="61"/>
      <c r="U57" s="226"/>
      <c r="W57" s="43">
        <f t="shared" si="2"/>
        <v>0</v>
      </c>
      <c r="X57" s="43" t="e">
        <f t="shared" si="3"/>
        <v>#DIV/0!</v>
      </c>
    </row>
    <row r="58" spans="1:24" s="3" customFormat="1" ht="19.5" customHeight="1" hidden="1">
      <c r="A58" s="150"/>
      <c r="B58" s="151"/>
      <c r="C58" s="269" t="s">
        <v>148</v>
      </c>
      <c r="D58" s="248">
        <v>414311</v>
      </c>
      <c r="E58" s="249" t="s">
        <v>149</v>
      </c>
      <c r="F58" s="250">
        <f>SUM(G58:K58)</f>
        <v>3346000</v>
      </c>
      <c r="G58" s="251"/>
      <c r="H58" s="251"/>
      <c r="I58" s="251">
        <v>3346000</v>
      </c>
      <c r="J58" s="251"/>
      <c r="K58" s="251"/>
      <c r="L58" s="250">
        <f>SUM(M58:Q58)</f>
        <v>3800000</v>
      </c>
      <c r="M58" s="251"/>
      <c r="N58" s="251"/>
      <c r="O58" s="251">
        <v>3800000</v>
      </c>
      <c r="P58" s="251"/>
      <c r="Q58" s="251"/>
      <c r="R58" s="79"/>
      <c r="S58" s="79"/>
      <c r="T58" s="79"/>
      <c r="U58" s="226">
        <v>2995446</v>
      </c>
      <c r="W58" s="43">
        <f t="shared" si="2"/>
        <v>89.52319187089061</v>
      </c>
      <c r="X58" s="43" t="e">
        <f t="shared" si="3"/>
        <v>#DIV/0!</v>
      </c>
    </row>
    <row r="59" spans="1:24" s="3" customFormat="1" ht="28.5" customHeight="1" hidden="1">
      <c r="A59" s="150"/>
      <c r="B59" s="151"/>
      <c r="C59" s="152" t="s">
        <v>150</v>
      </c>
      <c r="D59" s="113">
        <v>414314</v>
      </c>
      <c r="E59" s="153" t="s">
        <v>151</v>
      </c>
      <c r="F59" s="17">
        <f>SUM(G59:K59)</f>
        <v>118473</v>
      </c>
      <c r="G59" s="33"/>
      <c r="H59" s="33"/>
      <c r="I59" s="33">
        <v>118473</v>
      </c>
      <c r="J59" s="33"/>
      <c r="K59" s="33"/>
      <c r="L59" s="17">
        <f>SUM(M59:Q59)</f>
        <v>118473</v>
      </c>
      <c r="M59" s="33"/>
      <c r="N59" s="33"/>
      <c r="O59" s="33">
        <v>118473</v>
      </c>
      <c r="P59" s="33"/>
      <c r="Q59" s="33"/>
      <c r="R59" s="79"/>
      <c r="S59" s="79"/>
      <c r="T59" s="79"/>
      <c r="U59" s="226">
        <v>83300</v>
      </c>
      <c r="W59" s="43">
        <f t="shared" si="2"/>
        <v>70.31137896398334</v>
      </c>
      <c r="X59" s="43" t="e">
        <f t="shared" si="3"/>
        <v>#DIV/0!</v>
      </c>
    </row>
    <row r="60" spans="1:24" s="3" customFormat="1" ht="42.75" customHeight="1">
      <c r="A60" s="150"/>
      <c r="B60" s="151"/>
      <c r="C60" s="329" t="s">
        <v>62</v>
      </c>
      <c r="D60" s="330">
        <v>414400</v>
      </c>
      <c r="E60" s="331" t="s">
        <v>63</v>
      </c>
      <c r="F60" s="324">
        <f>+I61+K61</f>
        <v>70000</v>
      </c>
      <c r="G60" s="311"/>
      <c r="H60" s="311"/>
      <c r="I60" s="311"/>
      <c r="J60" s="311"/>
      <c r="K60" s="311">
        <f>+K61</f>
        <v>70000</v>
      </c>
      <c r="L60" s="324">
        <f>+M60+N60+O60+P60+Q60</f>
        <v>6554193</v>
      </c>
      <c r="M60" s="311"/>
      <c r="N60" s="311"/>
      <c r="O60" s="311">
        <f>+O61+O62</f>
        <v>6484193</v>
      </c>
      <c r="P60" s="311"/>
      <c r="Q60" s="311">
        <f>+Q61</f>
        <v>70000</v>
      </c>
      <c r="R60" s="80"/>
      <c r="S60" s="80"/>
      <c r="T60" s="80"/>
      <c r="U60" s="226"/>
      <c r="W60" s="43" t="e">
        <f t="shared" si="2"/>
        <v>#DIV/0!</v>
      </c>
      <c r="X60" s="43">
        <f t="shared" si="3"/>
        <v>0</v>
      </c>
    </row>
    <row r="61" spans="1:24" s="3" customFormat="1" ht="25.5" customHeight="1" hidden="1">
      <c r="A61" s="150"/>
      <c r="B61" s="155"/>
      <c r="C61" s="270" t="s">
        <v>152</v>
      </c>
      <c r="D61" s="271">
        <v>414411</v>
      </c>
      <c r="E61" s="272" t="s">
        <v>153</v>
      </c>
      <c r="F61" s="250">
        <f aca="true" t="shared" si="4" ref="F61:F69">SUM(G61:K61)</f>
        <v>70000</v>
      </c>
      <c r="G61" s="251"/>
      <c r="H61" s="251"/>
      <c r="I61" s="251"/>
      <c r="J61" s="251"/>
      <c r="K61" s="251">
        <v>70000</v>
      </c>
      <c r="L61" s="250">
        <f aca="true" t="shared" si="5" ref="L61:L69">SUM(M61:Q61)</f>
        <v>154193</v>
      </c>
      <c r="M61" s="251"/>
      <c r="N61" s="251"/>
      <c r="O61" s="251">
        <v>84193</v>
      </c>
      <c r="P61" s="251"/>
      <c r="Q61" s="251">
        <v>70000</v>
      </c>
      <c r="R61" s="79"/>
      <c r="S61" s="79"/>
      <c r="T61" s="79"/>
      <c r="U61" s="226">
        <v>84193.22</v>
      </c>
      <c r="W61" s="43" t="e">
        <f t="shared" si="2"/>
        <v>#DIV/0!</v>
      </c>
      <c r="X61" s="43">
        <f t="shared" si="3"/>
        <v>0</v>
      </c>
    </row>
    <row r="62" spans="1:24" s="3" customFormat="1" ht="25.5" customHeight="1" hidden="1">
      <c r="A62" s="150"/>
      <c r="B62" s="155"/>
      <c r="C62" s="270"/>
      <c r="D62" s="271">
        <v>414419</v>
      </c>
      <c r="E62" s="272" t="s">
        <v>481</v>
      </c>
      <c r="F62" s="250"/>
      <c r="G62" s="251"/>
      <c r="H62" s="251"/>
      <c r="I62" s="251"/>
      <c r="J62" s="251"/>
      <c r="K62" s="251"/>
      <c r="L62" s="250">
        <f t="shared" si="5"/>
        <v>6400000</v>
      </c>
      <c r="M62" s="251"/>
      <c r="N62" s="251"/>
      <c r="O62" s="251">
        <v>6400000</v>
      </c>
      <c r="P62" s="251"/>
      <c r="Q62" s="251"/>
      <c r="R62" s="79"/>
      <c r="S62" s="79"/>
      <c r="T62" s="79"/>
      <c r="U62" s="226">
        <v>6069631.04</v>
      </c>
      <c r="V62" s="3">
        <v>4250</v>
      </c>
      <c r="W62" s="43" t="e">
        <f t="shared" si="2"/>
        <v>#DIV/0!</v>
      </c>
      <c r="X62" s="43" t="e">
        <f t="shared" si="3"/>
        <v>#DIV/0!</v>
      </c>
    </row>
    <row r="63" spans="1:24" s="3" customFormat="1" ht="27" customHeight="1">
      <c r="A63" s="129">
        <v>5</v>
      </c>
      <c r="B63" s="107">
        <v>415100</v>
      </c>
      <c r="C63" s="332" t="s">
        <v>64</v>
      </c>
      <c r="D63" s="392" t="s">
        <v>431</v>
      </c>
      <c r="E63" s="392"/>
      <c r="F63" s="324">
        <f t="shared" si="4"/>
        <v>16976000</v>
      </c>
      <c r="G63" s="328"/>
      <c r="H63" s="328"/>
      <c r="I63" s="324">
        <f>+I64+I65+I66</f>
        <v>15276000</v>
      </c>
      <c r="J63" s="324"/>
      <c r="K63" s="324">
        <f>+K64+K65+K66</f>
        <v>1700000</v>
      </c>
      <c r="L63" s="324">
        <f t="shared" si="5"/>
        <v>13409452</v>
      </c>
      <c r="M63" s="328"/>
      <c r="N63" s="328"/>
      <c r="O63" s="324">
        <f>+O64+O65+O66</f>
        <v>12959452</v>
      </c>
      <c r="P63" s="324"/>
      <c r="Q63" s="324">
        <f>+Q64+Q65+Q66</f>
        <v>450000</v>
      </c>
      <c r="R63" s="61"/>
      <c r="S63" s="61"/>
      <c r="T63" s="61"/>
      <c r="U63" s="226"/>
      <c r="W63" s="43">
        <f t="shared" si="2"/>
        <v>0</v>
      </c>
      <c r="X63" s="43">
        <f t="shared" si="3"/>
        <v>0</v>
      </c>
    </row>
    <row r="64" spans="1:24" s="3" customFormat="1" ht="24" customHeight="1" hidden="1">
      <c r="A64" s="370"/>
      <c r="B64" s="371"/>
      <c r="C64" s="281" t="s">
        <v>154</v>
      </c>
      <c r="D64" s="282">
        <v>415111</v>
      </c>
      <c r="E64" s="249" t="s">
        <v>155</v>
      </c>
      <c r="F64" s="250">
        <f t="shared" si="4"/>
        <v>1500000</v>
      </c>
      <c r="G64" s="283"/>
      <c r="H64" s="283"/>
      <c r="I64" s="283"/>
      <c r="J64" s="283"/>
      <c r="K64" s="283">
        <v>1500000</v>
      </c>
      <c r="L64" s="250">
        <f t="shared" si="5"/>
        <v>250000</v>
      </c>
      <c r="M64" s="283"/>
      <c r="N64" s="283"/>
      <c r="O64" s="283"/>
      <c r="P64" s="283"/>
      <c r="Q64" s="283">
        <v>250000</v>
      </c>
      <c r="R64" s="81"/>
      <c r="S64" s="81"/>
      <c r="T64" s="81"/>
      <c r="U64" s="226"/>
      <c r="V64" s="3">
        <v>126463.86</v>
      </c>
      <c r="W64" s="43" t="e">
        <f t="shared" si="2"/>
        <v>#DIV/0!</v>
      </c>
      <c r="X64" s="43">
        <f t="shared" si="3"/>
        <v>8.430924</v>
      </c>
    </row>
    <row r="65" spans="1:24" s="3" customFormat="1" ht="23.25" customHeight="1" hidden="1">
      <c r="A65" s="370"/>
      <c r="B65" s="371"/>
      <c r="C65" s="267" t="s">
        <v>156</v>
      </c>
      <c r="D65" s="248">
        <v>415112</v>
      </c>
      <c r="E65" s="249" t="s">
        <v>157</v>
      </c>
      <c r="F65" s="250">
        <f t="shared" si="4"/>
        <v>14776000</v>
      </c>
      <c r="G65" s="251"/>
      <c r="H65" s="251"/>
      <c r="I65" s="251">
        <f>11390340+1100000+200000+1885660</f>
        <v>14576000</v>
      </c>
      <c r="J65" s="251"/>
      <c r="K65" s="251">
        <v>200000</v>
      </c>
      <c r="L65" s="250">
        <f t="shared" si="5"/>
        <v>12659452</v>
      </c>
      <c r="M65" s="251"/>
      <c r="N65" s="251"/>
      <c r="O65" s="251">
        <f>11390340+1100000+200000+1885660-2638796+522248</f>
        <v>12459452</v>
      </c>
      <c r="P65" s="251"/>
      <c r="Q65" s="251">
        <v>200000</v>
      </c>
      <c r="R65" s="79"/>
      <c r="S65" s="79"/>
      <c r="T65" s="79"/>
      <c r="U65" s="226">
        <v>13584676.48</v>
      </c>
      <c r="V65" s="3">
        <v>55270</v>
      </c>
      <c r="W65" s="43">
        <f t="shared" si="2"/>
        <v>93.19893304061472</v>
      </c>
      <c r="X65" s="43">
        <f t="shared" si="3"/>
        <v>27.634999999999998</v>
      </c>
    </row>
    <row r="66" spans="1:24" s="3" customFormat="1" ht="26.25" customHeight="1" hidden="1">
      <c r="A66" s="159"/>
      <c r="B66" s="160"/>
      <c r="C66" s="267" t="s">
        <v>158</v>
      </c>
      <c r="D66" s="248">
        <v>4151121</v>
      </c>
      <c r="E66" s="249" t="s">
        <v>159</v>
      </c>
      <c r="F66" s="250">
        <f t="shared" si="4"/>
        <v>700000</v>
      </c>
      <c r="G66" s="251"/>
      <c r="H66" s="251"/>
      <c r="I66" s="268">
        <v>700000</v>
      </c>
      <c r="J66" s="268"/>
      <c r="K66" s="268"/>
      <c r="L66" s="250">
        <f t="shared" si="5"/>
        <v>500000</v>
      </c>
      <c r="M66" s="251"/>
      <c r="N66" s="251"/>
      <c r="O66" s="268">
        <v>500000</v>
      </c>
      <c r="P66" s="268"/>
      <c r="Q66" s="268"/>
      <c r="R66" s="65"/>
      <c r="S66" s="65"/>
      <c r="T66" s="65"/>
      <c r="U66" s="226">
        <v>439450.91</v>
      </c>
      <c r="W66" s="43">
        <f t="shared" si="2"/>
        <v>62.77870142857142</v>
      </c>
      <c r="X66" s="43" t="e">
        <f t="shared" si="3"/>
        <v>#DIV/0!</v>
      </c>
    </row>
    <row r="67" spans="1:24" s="3" customFormat="1" ht="33" customHeight="1" thickBot="1">
      <c r="A67" s="123">
        <v>6</v>
      </c>
      <c r="B67" s="135">
        <v>416100</v>
      </c>
      <c r="C67" s="332" t="s">
        <v>65</v>
      </c>
      <c r="D67" s="393" t="s">
        <v>432</v>
      </c>
      <c r="E67" s="393"/>
      <c r="F67" s="324">
        <f t="shared" si="4"/>
        <v>7812040.56</v>
      </c>
      <c r="G67" s="328"/>
      <c r="H67" s="324"/>
      <c r="I67" s="324">
        <f>+I68+I69</f>
        <v>7652040.56</v>
      </c>
      <c r="J67" s="324"/>
      <c r="K67" s="324">
        <f>+K68+K69</f>
        <v>160000</v>
      </c>
      <c r="L67" s="324">
        <f t="shared" si="5"/>
        <v>8960000</v>
      </c>
      <c r="M67" s="328"/>
      <c r="N67" s="324"/>
      <c r="O67" s="324">
        <f>+O68+O69</f>
        <v>8800000</v>
      </c>
      <c r="P67" s="324"/>
      <c r="Q67" s="324">
        <f>+Q68+Q69</f>
        <v>160000</v>
      </c>
      <c r="R67" s="61"/>
      <c r="S67" s="61"/>
      <c r="T67" s="61"/>
      <c r="U67" s="226"/>
      <c r="W67" s="43">
        <f t="shared" si="2"/>
        <v>0</v>
      </c>
      <c r="X67" s="43">
        <f t="shared" si="3"/>
        <v>0</v>
      </c>
    </row>
    <row r="68" spans="1:24" s="3" customFormat="1" ht="19.5" customHeight="1" hidden="1">
      <c r="A68" s="140"/>
      <c r="B68" s="161"/>
      <c r="C68" s="276" t="s">
        <v>160</v>
      </c>
      <c r="D68" s="248">
        <v>416111</v>
      </c>
      <c r="E68" s="249" t="s">
        <v>161</v>
      </c>
      <c r="F68" s="250">
        <f t="shared" si="4"/>
        <v>7652040.56</v>
      </c>
      <c r="G68" s="251"/>
      <c r="H68" s="251"/>
      <c r="I68" s="251">
        <v>7652040.56</v>
      </c>
      <c r="J68" s="251"/>
      <c r="K68" s="251"/>
      <c r="L68" s="250">
        <f t="shared" si="5"/>
        <v>8800000</v>
      </c>
      <c r="M68" s="251"/>
      <c r="N68" s="251"/>
      <c r="O68" s="251">
        <v>8800000</v>
      </c>
      <c r="P68" s="251"/>
      <c r="Q68" s="251"/>
      <c r="R68" s="79"/>
      <c r="S68" s="79"/>
      <c r="T68" s="79"/>
      <c r="U68" s="226">
        <v>8236514.74</v>
      </c>
      <c r="V68" s="3">
        <f>+U68+224060.78+315457.45</f>
        <v>8776032.969999999</v>
      </c>
      <c r="W68" s="225">
        <f t="shared" si="2"/>
        <v>107.63814796088849</v>
      </c>
      <c r="X68" s="43" t="e">
        <f t="shared" si="3"/>
        <v>#DIV/0!</v>
      </c>
    </row>
    <row r="69" spans="1:24" s="3" customFormat="1" ht="23.25" customHeight="1" hidden="1" thickBot="1">
      <c r="A69" s="132"/>
      <c r="B69" s="137"/>
      <c r="C69" s="138" t="s">
        <v>162</v>
      </c>
      <c r="D69" s="158">
        <v>416131</v>
      </c>
      <c r="E69" s="153" t="s">
        <v>163</v>
      </c>
      <c r="F69" s="23">
        <f t="shared" si="4"/>
        <v>160000</v>
      </c>
      <c r="G69" s="49"/>
      <c r="H69" s="49"/>
      <c r="I69" s="49"/>
      <c r="J69" s="49"/>
      <c r="K69" s="49">
        <v>160000</v>
      </c>
      <c r="L69" s="23">
        <f t="shared" si="5"/>
        <v>160000</v>
      </c>
      <c r="M69" s="49"/>
      <c r="N69" s="49"/>
      <c r="O69" s="49"/>
      <c r="P69" s="49"/>
      <c r="Q69" s="49">
        <v>160000</v>
      </c>
      <c r="R69" s="81"/>
      <c r="S69" s="81"/>
      <c r="T69" s="81"/>
      <c r="U69" s="226"/>
      <c r="V69" s="3">
        <v>63990.55</v>
      </c>
      <c r="W69" s="43" t="e">
        <f t="shared" si="2"/>
        <v>#DIV/0!</v>
      </c>
      <c r="X69" s="43">
        <f t="shared" si="3"/>
        <v>39.994093750000005</v>
      </c>
    </row>
    <row r="70" spans="1:24" s="3" customFormat="1" ht="24" customHeight="1" thickBot="1" thickTop="1">
      <c r="A70" s="97" t="s">
        <v>26</v>
      </c>
      <c r="B70" s="122">
        <v>420000</v>
      </c>
      <c r="C70" s="122"/>
      <c r="D70" s="363" t="s">
        <v>66</v>
      </c>
      <c r="E70" s="363"/>
      <c r="F70" s="12">
        <f>+G70+H70+I70+J70+K70</f>
        <v>116550145.78</v>
      </c>
      <c r="G70" s="36"/>
      <c r="H70" s="12">
        <f>+H71+H101+H110+H133+H169+H141</f>
        <v>1000000</v>
      </c>
      <c r="I70" s="12">
        <f>+I71+I101+I110+I133+I169+I141</f>
        <v>108293645.78</v>
      </c>
      <c r="J70" s="12"/>
      <c r="K70" s="12">
        <f>+K71+K101+K110+K133+K169+K141</f>
        <v>7256500</v>
      </c>
      <c r="L70" s="12">
        <f>+M70+N70+O70+P70+Q70</f>
        <v>136345959.78</v>
      </c>
      <c r="M70" s="36">
        <f>+M110</f>
        <v>21375</v>
      </c>
      <c r="N70" s="12">
        <f>+N71+N101+N110+N133+N169+N141</f>
        <v>1000000</v>
      </c>
      <c r="O70" s="12">
        <f>+O71+O101+O110+O133+O169+O141</f>
        <v>127115823.78</v>
      </c>
      <c r="P70" s="12"/>
      <c r="Q70" s="12">
        <f>+Q71+Q101+Q110+Q133+Q169+Q141</f>
        <v>8208761</v>
      </c>
      <c r="R70" s="61"/>
      <c r="S70" s="61"/>
      <c r="T70" s="61"/>
      <c r="U70" s="226"/>
      <c r="W70" s="43">
        <f t="shared" si="2"/>
        <v>0</v>
      </c>
      <c r="X70" s="43">
        <f t="shared" si="3"/>
        <v>0</v>
      </c>
    </row>
    <row r="71" spans="1:24" s="3" customFormat="1" ht="24.75" customHeight="1" thickTop="1">
      <c r="A71" s="162">
        <v>1</v>
      </c>
      <c r="B71" s="124">
        <v>421000</v>
      </c>
      <c r="C71" s="163"/>
      <c r="D71" s="368" t="s">
        <v>67</v>
      </c>
      <c r="E71" s="368"/>
      <c r="F71" s="14">
        <f>+I72+I75+I80+I85+I93+I98</f>
        <v>21609139.39</v>
      </c>
      <c r="G71" s="32"/>
      <c r="H71" s="32"/>
      <c r="I71" s="14">
        <f>+I72+I75+I80+I85+I93+I98</f>
        <v>21609139.39</v>
      </c>
      <c r="J71" s="14"/>
      <c r="K71" s="14">
        <f>+K72+K75+K80+K85+K93+K98</f>
        <v>750500</v>
      </c>
      <c r="L71" s="14">
        <f>+M71+N71+O71+P71+Q71</f>
        <v>27562057.39</v>
      </c>
      <c r="M71" s="32"/>
      <c r="N71" s="32"/>
      <c r="O71" s="14">
        <f>+O72+O75+O80+O85+O93+O98</f>
        <v>26597557.39</v>
      </c>
      <c r="P71" s="14"/>
      <c r="Q71" s="14">
        <f>+Q72+Q75+Q80+Q85+Q93+Q98</f>
        <v>964500</v>
      </c>
      <c r="R71" s="61"/>
      <c r="S71" s="61"/>
      <c r="T71" s="61"/>
      <c r="U71" s="226"/>
      <c r="W71" s="43">
        <f t="shared" si="2"/>
        <v>0</v>
      </c>
      <c r="X71" s="43">
        <f t="shared" si="3"/>
        <v>0</v>
      </c>
    </row>
    <row r="72" spans="1:24" s="3" customFormat="1" ht="24.75" customHeight="1">
      <c r="A72" s="164"/>
      <c r="B72" s="151"/>
      <c r="C72" s="333" t="s">
        <v>68</v>
      </c>
      <c r="D72" s="334">
        <v>421100</v>
      </c>
      <c r="E72" s="313" t="s">
        <v>425</v>
      </c>
      <c r="F72" s="324">
        <f aca="true" t="shared" si="6" ref="F72:F91">SUM(G72:K72)</f>
        <v>821000.39</v>
      </c>
      <c r="G72" s="335"/>
      <c r="H72" s="335"/>
      <c r="I72" s="335">
        <f>+I73+I74</f>
        <v>721000.39</v>
      </c>
      <c r="J72" s="335"/>
      <c r="K72" s="335">
        <f>+K73+K74</f>
        <v>100000</v>
      </c>
      <c r="L72" s="324">
        <f aca="true" t="shared" si="7" ref="L72:L91">SUM(M72:Q72)</f>
        <v>1078000.3900000001</v>
      </c>
      <c r="M72" s="335"/>
      <c r="N72" s="335"/>
      <c r="O72" s="335">
        <f>+O73+O74</f>
        <v>978000.39</v>
      </c>
      <c r="P72" s="335"/>
      <c r="Q72" s="335">
        <f>+Q73+Q74</f>
        <v>100000</v>
      </c>
      <c r="R72" s="82"/>
      <c r="S72" s="82"/>
      <c r="T72" s="82"/>
      <c r="U72" s="226"/>
      <c r="W72" s="43">
        <f t="shared" si="2"/>
        <v>0</v>
      </c>
      <c r="X72" s="43">
        <f t="shared" si="3"/>
        <v>0</v>
      </c>
    </row>
    <row r="73" spans="1:24" s="3" customFormat="1" ht="19.5" customHeight="1" hidden="1">
      <c r="A73" s="166"/>
      <c r="B73" s="365"/>
      <c r="C73" s="278" t="s">
        <v>164</v>
      </c>
      <c r="D73" s="248">
        <v>421111</v>
      </c>
      <c r="E73" s="249" t="s">
        <v>165</v>
      </c>
      <c r="F73" s="250">
        <f t="shared" si="6"/>
        <v>758000</v>
      </c>
      <c r="G73" s="251"/>
      <c r="H73" s="251"/>
      <c r="I73" s="251">
        <v>663000</v>
      </c>
      <c r="J73" s="251"/>
      <c r="K73" s="251">
        <v>95000</v>
      </c>
      <c r="L73" s="250">
        <f t="shared" si="7"/>
        <v>1015000</v>
      </c>
      <c r="M73" s="251"/>
      <c r="N73" s="251"/>
      <c r="O73" s="251">
        <v>920000</v>
      </c>
      <c r="P73" s="251"/>
      <c r="Q73" s="251">
        <v>95000</v>
      </c>
      <c r="R73" s="79"/>
      <c r="S73" s="79"/>
      <c r="T73" s="79"/>
      <c r="U73" s="226">
        <v>762402.49</v>
      </c>
      <c r="V73" s="3">
        <f>80760.5+179.6+4326.87</f>
        <v>85266.97</v>
      </c>
      <c r="W73" s="225">
        <f t="shared" si="2"/>
        <v>114.99283408748116</v>
      </c>
      <c r="X73" s="43">
        <f t="shared" si="3"/>
        <v>89.7547052631579</v>
      </c>
    </row>
    <row r="74" spans="1:24" s="3" customFormat="1" ht="19.5" customHeight="1" hidden="1">
      <c r="A74" s="166"/>
      <c r="B74" s="365"/>
      <c r="C74" s="168" t="s">
        <v>166</v>
      </c>
      <c r="D74" s="105">
        <v>421121</v>
      </c>
      <c r="E74" s="106" t="s">
        <v>167</v>
      </c>
      <c r="F74" s="17">
        <f t="shared" si="6"/>
        <v>63000.39</v>
      </c>
      <c r="G74" s="33"/>
      <c r="H74" s="33"/>
      <c r="I74" s="33">
        <v>58000.39</v>
      </c>
      <c r="J74" s="33"/>
      <c r="K74" s="33">
        <v>5000</v>
      </c>
      <c r="L74" s="17">
        <f t="shared" si="7"/>
        <v>63000.39</v>
      </c>
      <c r="M74" s="33"/>
      <c r="N74" s="33"/>
      <c r="O74" s="33">
        <v>58000.39</v>
      </c>
      <c r="P74" s="33"/>
      <c r="Q74" s="33">
        <v>5000</v>
      </c>
      <c r="R74" s="79"/>
      <c r="S74" s="79"/>
      <c r="T74" s="79"/>
      <c r="U74" s="226">
        <v>34650</v>
      </c>
      <c r="W74" s="43">
        <f t="shared" si="2"/>
        <v>59.740977603771285</v>
      </c>
      <c r="X74" s="43">
        <f t="shared" si="3"/>
        <v>0</v>
      </c>
    </row>
    <row r="75" spans="1:24" s="3" customFormat="1" ht="24.75" customHeight="1">
      <c r="A75" s="166"/>
      <c r="B75" s="151"/>
      <c r="C75" s="333" t="s">
        <v>69</v>
      </c>
      <c r="D75" s="334">
        <v>421200</v>
      </c>
      <c r="E75" s="313" t="s">
        <v>426</v>
      </c>
      <c r="F75" s="324">
        <f t="shared" si="6"/>
        <v>11588252</v>
      </c>
      <c r="G75" s="311"/>
      <c r="H75" s="311"/>
      <c r="I75" s="311">
        <f>+I76+I77+I78+I79</f>
        <v>11563252</v>
      </c>
      <c r="J75" s="311"/>
      <c r="K75" s="311">
        <f>+K76+K77+K78+K79</f>
        <v>25000</v>
      </c>
      <c r="L75" s="324">
        <f t="shared" si="7"/>
        <v>15207487</v>
      </c>
      <c r="M75" s="311"/>
      <c r="N75" s="311"/>
      <c r="O75" s="311">
        <f>+O76+O77+O78+O79</f>
        <v>15172487</v>
      </c>
      <c r="P75" s="311"/>
      <c r="Q75" s="311">
        <f>+Q76+Q77+Q78+Q79</f>
        <v>35000</v>
      </c>
      <c r="R75" s="80"/>
      <c r="S75" s="80"/>
      <c r="T75" s="80"/>
      <c r="U75" s="226"/>
      <c r="V75" s="3">
        <f>+U77+455590</f>
        <v>3543320.32</v>
      </c>
      <c r="W75" s="43">
        <f t="shared" si="2"/>
        <v>0</v>
      </c>
      <c r="X75" s="43">
        <f t="shared" si="3"/>
        <v>14173.281280000001</v>
      </c>
    </row>
    <row r="76" spans="1:24" s="1" customFormat="1" ht="19.5" customHeight="1" hidden="1">
      <c r="A76" s="166"/>
      <c r="B76" s="365"/>
      <c r="C76" s="292" t="s">
        <v>168</v>
      </c>
      <c r="D76" s="231">
        <v>421211</v>
      </c>
      <c r="E76" s="233" t="s">
        <v>169</v>
      </c>
      <c r="F76" s="236">
        <f t="shared" si="6"/>
        <v>6074912</v>
      </c>
      <c r="G76" s="291"/>
      <c r="H76" s="291"/>
      <c r="I76" s="291">
        <f>6064700+212</f>
        <v>6064912</v>
      </c>
      <c r="J76" s="291"/>
      <c r="K76" s="291">
        <v>10000</v>
      </c>
      <c r="L76" s="236">
        <f t="shared" si="7"/>
        <v>7310000</v>
      </c>
      <c r="M76" s="291"/>
      <c r="N76" s="291"/>
      <c r="O76" s="291">
        <v>7300000</v>
      </c>
      <c r="P76" s="291"/>
      <c r="Q76" s="291">
        <v>10000</v>
      </c>
      <c r="R76" s="79"/>
      <c r="S76" s="79"/>
      <c r="T76" s="79"/>
      <c r="U76" s="226">
        <v>6343094.53</v>
      </c>
      <c r="V76" s="3">
        <v>163638.7</v>
      </c>
      <c r="W76" s="225">
        <f t="shared" si="2"/>
        <v>104.58675294876497</v>
      </c>
      <c r="X76" s="43">
        <f t="shared" si="3"/>
        <v>1636.3870000000002</v>
      </c>
    </row>
    <row r="77" spans="1:24" s="1" customFormat="1" ht="19.5" customHeight="1" hidden="1">
      <c r="A77" s="166"/>
      <c r="B77" s="365"/>
      <c r="C77" s="292" t="s">
        <v>170</v>
      </c>
      <c r="D77" s="231">
        <v>421221</v>
      </c>
      <c r="E77" s="233" t="s">
        <v>171</v>
      </c>
      <c r="F77" s="236">
        <f t="shared" si="6"/>
        <v>2224100</v>
      </c>
      <c r="G77" s="291"/>
      <c r="H77" s="291"/>
      <c r="I77" s="291">
        <v>2214100</v>
      </c>
      <c r="J77" s="291"/>
      <c r="K77" s="291">
        <v>10000</v>
      </c>
      <c r="L77" s="236">
        <f t="shared" si="7"/>
        <v>3710000</v>
      </c>
      <c r="M77" s="291"/>
      <c r="N77" s="291"/>
      <c r="O77" s="291">
        <f>3400000+200000+100000</f>
        <v>3700000</v>
      </c>
      <c r="P77" s="291"/>
      <c r="Q77" s="291">
        <v>10000</v>
      </c>
      <c r="R77" s="79"/>
      <c r="S77" s="79"/>
      <c r="T77" s="79"/>
      <c r="U77" s="226">
        <v>3087730.32</v>
      </c>
      <c r="V77" s="3">
        <v>142425.93</v>
      </c>
      <c r="W77" s="225">
        <f t="shared" si="2"/>
        <v>139.4575818617045</v>
      </c>
      <c r="X77" s="43">
        <f t="shared" si="3"/>
        <v>1424.2593</v>
      </c>
    </row>
    <row r="78" spans="1:24" s="1" customFormat="1" ht="19.5" customHeight="1" hidden="1">
      <c r="A78" s="166"/>
      <c r="B78" s="365"/>
      <c r="C78" s="292" t="s">
        <v>172</v>
      </c>
      <c r="D78" s="231">
        <v>421224</v>
      </c>
      <c r="E78" s="233" t="s">
        <v>173</v>
      </c>
      <c r="F78" s="236">
        <f t="shared" si="6"/>
        <v>1204300</v>
      </c>
      <c r="G78" s="291"/>
      <c r="H78" s="291"/>
      <c r="I78" s="291">
        <v>1199300</v>
      </c>
      <c r="J78" s="291"/>
      <c r="K78" s="291">
        <v>5000</v>
      </c>
      <c r="L78" s="236">
        <f t="shared" si="7"/>
        <v>1214300</v>
      </c>
      <c r="M78" s="291"/>
      <c r="N78" s="291"/>
      <c r="O78" s="291">
        <v>1199300</v>
      </c>
      <c r="P78" s="291"/>
      <c r="Q78" s="291">
        <v>15000</v>
      </c>
      <c r="R78" s="79"/>
      <c r="S78" s="79"/>
      <c r="T78" s="79"/>
      <c r="U78" s="226">
        <v>1193492.98</v>
      </c>
      <c r="V78" s="3">
        <v>14400</v>
      </c>
      <c r="W78" s="225">
        <f t="shared" si="2"/>
        <v>99.51579921620946</v>
      </c>
      <c r="X78" s="43">
        <f t="shared" si="3"/>
        <v>288</v>
      </c>
    </row>
    <row r="79" spans="1:24" s="1" customFormat="1" ht="19.5" customHeight="1" hidden="1">
      <c r="A79" s="166"/>
      <c r="B79" s="365"/>
      <c r="C79" s="292" t="s">
        <v>174</v>
      </c>
      <c r="D79" s="231">
        <v>421225</v>
      </c>
      <c r="E79" s="233" t="s">
        <v>175</v>
      </c>
      <c r="F79" s="236">
        <f t="shared" si="6"/>
        <v>2084940</v>
      </c>
      <c r="G79" s="291"/>
      <c r="H79" s="291"/>
      <c r="I79" s="291">
        <v>2084940</v>
      </c>
      <c r="J79" s="291"/>
      <c r="K79" s="291"/>
      <c r="L79" s="236">
        <f t="shared" si="7"/>
        <v>2973187</v>
      </c>
      <c r="M79" s="291"/>
      <c r="N79" s="291"/>
      <c r="O79" s="291">
        <v>2973187</v>
      </c>
      <c r="P79" s="291"/>
      <c r="Q79" s="291"/>
      <c r="R79" s="79"/>
      <c r="S79" s="79"/>
      <c r="T79" s="79"/>
      <c r="U79" s="226">
        <v>2362036.9</v>
      </c>
      <c r="V79" s="3">
        <f>+U79+411150</f>
        <v>2773186.9</v>
      </c>
      <c r="W79" s="225">
        <f t="shared" si="2"/>
        <v>113.29040164225349</v>
      </c>
      <c r="X79" s="43" t="e">
        <f t="shared" si="3"/>
        <v>#DIV/0!</v>
      </c>
    </row>
    <row r="80" spans="1:24" s="1" customFormat="1" ht="21" customHeight="1">
      <c r="A80" s="166"/>
      <c r="B80" s="151"/>
      <c r="C80" s="336" t="s">
        <v>70</v>
      </c>
      <c r="D80" s="334">
        <v>421300</v>
      </c>
      <c r="E80" s="313" t="s">
        <v>427</v>
      </c>
      <c r="F80" s="324">
        <f t="shared" si="6"/>
        <v>5762000</v>
      </c>
      <c r="G80" s="311"/>
      <c r="H80" s="311"/>
      <c r="I80" s="311">
        <f>+I81+I82+I84+I83</f>
        <v>5746000</v>
      </c>
      <c r="J80" s="311"/>
      <c r="K80" s="311">
        <f>+K81+K82+K84+K83</f>
        <v>16000</v>
      </c>
      <c r="L80" s="324">
        <f t="shared" si="7"/>
        <v>6108000</v>
      </c>
      <c r="M80" s="311"/>
      <c r="N80" s="311"/>
      <c r="O80" s="311">
        <f>+O81+O82+O84+O83</f>
        <v>6092000</v>
      </c>
      <c r="P80" s="311"/>
      <c r="Q80" s="311">
        <f>+Q81+Q82+Q84+Q83</f>
        <v>16000</v>
      </c>
      <c r="R80" s="80"/>
      <c r="S80" s="80"/>
      <c r="T80" s="80"/>
      <c r="U80" s="226"/>
      <c r="V80" s="3"/>
      <c r="W80" s="43">
        <f t="shared" si="2"/>
        <v>0</v>
      </c>
      <c r="X80" s="43">
        <f t="shared" si="3"/>
        <v>0</v>
      </c>
    </row>
    <row r="81" spans="1:24" s="1" customFormat="1" ht="19.5" customHeight="1" hidden="1">
      <c r="A81" s="166"/>
      <c r="B81" s="365"/>
      <c r="C81" s="292" t="s">
        <v>176</v>
      </c>
      <c r="D81" s="231">
        <v>421311</v>
      </c>
      <c r="E81" s="233" t="s">
        <v>177</v>
      </c>
      <c r="F81" s="236">
        <f t="shared" si="6"/>
        <v>940000</v>
      </c>
      <c r="G81" s="291"/>
      <c r="H81" s="291"/>
      <c r="I81" s="291">
        <v>930000</v>
      </c>
      <c r="J81" s="291"/>
      <c r="K81" s="291">
        <v>10000</v>
      </c>
      <c r="L81" s="236">
        <f t="shared" si="7"/>
        <v>1110000</v>
      </c>
      <c r="M81" s="291"/>
      <c r="N81" s="291"/>
      <c r="O81" s="291">
        <v>1100000</v>
      </c>
      <c r="P81" s="291"/>
      <c r="Q81" s="291">
        <v>10000</v>
      </c>
      <c r="R81" s="79"/>
      <c r="S81" s="79"/>
      <c r="T81" s="79"/>
      <c r="U81" s="226">
        <f>722421.29+318000</f>
        <v>1040421.29</v>
      </c>
      <c r="V81" s="3">
        <v>13213.09</v>
      </c>
      <c r="W81" s="43">
        <f t="shared" si="2"/>
        <v>111.87325698924731</v>
      </c>
      <c r="X81" s="43">
        <f t="shared" si="3"/>
        <v>132.1309</v>
      </c>
    </row>
    <row r="82" spans="1:24" s="1" customFormat="1" ht="19.5" customHeight="1" hidden="1">
      <c r="A82" s="166"/>
      <c r="B82" s="365"/>
      <c r="C82" s="292" t="s">
        <v>178</v>
      </c>
      <c r="D82" s="231">
        <v>421324</v>
      </c>
      <c r="E82" s="233" t="s">
        <v>179</v>
      </c>
      <c r="F82" s="236">
        <f t="shared" si="6"/>
        <v>480000</v>
      </c>
      <c r="G82" s="291"/>
      <c r="H82" s="291"/>
      <c r="I82" s="291">
        <v>474000</v>
      </c>
      <c r="J82" s="291"/>
      <c r="K82" s="291">
        <v>6000</v>
      </c>
      <c r="L82" s="236">
        <f t="shared" si="7"/>
        <v>656000</v>
      </c>
      <c r="M82" s="291"/>
      <c r="N82" s="291"/>
      <c r="O82" s="291">
        <v>650000</v>
      </c>
      <c r="P82" s="291"/>
      <c r="Q82" s="291">
        <v>6000</v>
      </c>
      <c r="R82" s="79"/>
      <c r="S82" s="79"/>
      <c r="T82" s="79"/>
      <c r="U82" s="226">
        <f>383155.64+252000</f>
        <v>635155.64</v>
      </c>
      <c r="V82" s="3">
        <v>4726.62</v>
      </c>
      <c r="W82" s="43">
        <f t="shared" si="2"/>
        <v>133.99908016877637</v>
      </c>
      <c r="X82" s="43">
        <f t="shared" si="3"/>
        <v>78.777</v>
      </c>
    </row>
    <row r="83" spans="1:24" s="1" customFormat="1" ht="19.5" customHeight="1" hidden="1">
      <c r="A83" s="166"/>
      <c r="B83" s="167"/>
      <c r="C83" s="168" t="s">
        <v>180</v>
      </c>
      <c r="D83" s="105">
        <v>4213241</v>
      </c>
      <c r="E83" s="106" t="s">
        <v>416</v>
      </c>
      <c r="F83" s="17">
        <f t="shared" si="6"/>
        <v>22000</v>
      </c>
      <c r="G83" s="33"/>
      <c r="H83" s="33"/>
      <c r="I83" s="33">
        <v>22000</v>
      </c>
      <c r="J83" s="33"/>
      <c r="K83" s="33"/>
      <c r="L83" s="17">
        <f t="shared" si="7"/>
        <v>22000</v>
      </c>
      <c r="M83" s="33"/>
      <c r="N83" s="33"/>
      <c r="O83" s="33">
        <v>22000</v>
      </c>
      <c r="P83" s="33"/>
      <c r="Q83" s="33"/>
      <c r="R83" s="79"/>
      <c r="S83" s="79"/>
      <c r="T83" s="79"/>
      <c r="U83" s="226">
        <v>21600</v>
      </c>
      <c r="V83" s="3"/>
      <c r="W83" s="225">
        <f t="shared" si="2"/>
        <v>98.18181818181819</v>
      </c>
      <c r="X83" s="43" t="e">
        <f t="shared" si="3"/>
        <v>#DIV/0!</v>
      </c>
    </row>
    <row r="84" spans="1:24" s="1" customFormat="1" ht="19.5" customHeight="1" hidden="1">
      <c r="A84" s="166"/>
      <c r="B84" s="167"/>
      <c r="C84" s="168" t="s">
        <v>417</v>
      </c>
      <c r="D84" s="105">
        <v>421325</v>
      </c>
      <c r="E84" s="106" t="s">
        <v>181</v>
      </c>
      <c r="F84" s="17">
        <f t="shared" si="6"/>
        <v>4320000</v>
      </c>
      <c r="G84" s="33"/>
      <c r="H84" s="33"/>
      <c r="I84" s="33">
        <v>4320000</v>
      </c>
      <c r="J84" s="33"/>
      <c r="K84" s="33"/>
      <c r="L84" s="17">
        <f t="shared" si="7"/>
        <v>4320000</v>
      </c>
      <c r="M84" s="33"/>
      <c r="N84" s="33"/>
      <c r="O84" s="33">
        <v>4320000</v>
      </c>
      <c r="P84" s="33"/>
      <c r="Q84" s="33"/>
      <c r="R84" s="79"/>
      <c r="S84" s="79"/>
      <c r="T84" s="79"/>
      <c r="U84" s="226">
        <f>3511935.5+720000</f>
        <v>4231935.5</v>
      </c>
      <c r="V84" s="3"/>
      <c r="W84" s="43">
        <f t="shared" si="2"/>
        <v>97.9614699074074</v>
      </c>
      <c r="X84" s="43" t="e">
        <f t="shared" si="3"/>
        <v>#DIV/0!</v>
      </c>
    </row>
    <row r="85" spans="1:24" s="1" customFormat="1" ht="24.75" customHeight="1">
      <c r="A85" s="166"/>
      <c r="B85" s="151"/>
      <c r="C85" s="336" t="s">
        <v>71</v>
      </c>
      <c r="D85" s="334">
        <v>421400</v>
      </c>
      <c r="E85" s="313" t="s">
        <v>428</v>
      </c>
      <c r="F85" s="324">
        <f t="shared" si="6"/>
        <v>2295053</v>
      </c>
      <c r="G85" s="311"/>
      <c r="H85" s="311"/>
      <c r="I85" s="311">
        <f>+I86+I89+I91+I88+I90+I87</f>
        <v>1925053</v>
      </c>
      <c r="J85" s="311"/>
      <c r="K85" s="311">
        <f>+K86+K89+K91+K88+K90+K92</f>
        <v>370000</v>
      </c>
      <c r="L85" s="324">
        <f t="shared" si="7"/>
        <v>2814500</v>
      </c>
      <c r="M85" s="311"/>
      <c r="N85" s="311"/>
      <c r="O85" s="311">
        <f>+O86+O89+O91+O88+O90+O87</f>
        <v>2240500</v>
      </c>
      <c r="P85" s="311"/>
      <c r="Q85" s="311">
        <f>+Q86+Q89+Q91+Q88+Q90+Q92</f>
        <v>574000</v>
      </c>
      <c r="R85" s="80"/>
      <c r="S85" s="80"/>
      <c r="T85" s="80"/>
      <c r="U85" s="226"/>
      <c r="V85" s="3"/>
      <c r="W85" s="43">
        <f t="shared" si="2"/>
        <v>0</v>
      </c>
      <c r="X85" s="43">
        <f t="shared" si="3"/>
        <v>0</v>
      </c>
    </row>
    <row r="86" spans="1:24" s="1" customFormat="1" ht="22.5" customHeight="1" hidden="1">
      <c r="A86" s="166"/>
      <c r="B86" s="365"/>
      <c r="C86" s="278" t="s">
        <v>182</v>
      </c>
      <c r="D86" s="248">
        <v>421411</v>
      </c>
      <c r="E86" s="249" t="s">
        <v>183</v>
      </c>
      <c r="F86" s="250">
        <f t="shared" si="6"/>
        <v>745000</v>
      </c>
      <c r="G86" s="251"/>
      <c r="H86" s="251"/>
      <c r="I86" s="251">
        <f>845000-100000</f>
        <v>745000</v>
      </c>
      <c r="J86" s="251"/>
      <c r="K86" s="251"/>
      <c r="L86" s="250">
        <f t="shared" si="7"/>
        <v>970000</v>
      </c>
      <c r="M86" s="251"/>
      <c r="N86" s="251"/>
      <c r="O86" s="251">
        <v>970000</v>
      </c>
      <c r="P86" s="251"/>
      <c r="Q86" s="251"/>
      <c r="R86" s="79"/>
      <c r="S86" s="79"/>
      <c r="T86" s="79"/>
      <c r="U86" s="226">
        <f>878709.22+84000</f>
        <v>962709.22</v>
      </c>
      <c r="V86" s="3"/>
      <c r="W86" s="225">
        <f t="shared" si="2"/>
        <v>129.22271409395972</v>
      </c>
      <c r="X86" s="43" t="e">
        <f t="shared" si="3"/>
        <v>#DIV/0!</v>
      </c>
    </row>
    <row r="87" spans="1:24" s="1" customFormat="1" ht="22.5" customHeight="1" hidden="1">
      <c r="A87" s="166"/>
      <c r="B87" s="365"/>
      <c r="C87" s="278" t="s">
        <v>184</v>
      </c>
      <c r="D87" s="248">
        <v>42141101</v>
      </c>
      <c r="E87" s="249" t="s">
        <v>185</v>
      </c>
      <c r="F87" s="250">
        <f t="shared" si="6"/>
        <v>76000</v>
      </c>
      <c r="G87" s="251"/>
      <c r="H87" s="251"/>
      <c r="I87" s="251">
        <v>76000</v>
      </c>
      <c r="J87" s="251"/>
      <c r="K87" s="251"/>
      <c r="L87" s="250">
        <f t="shared" si="7"/>
        <v>110000</v>
      </c>
      <c r="M87" s="251"/>
      <c r="N87" s="251"/>
      <c r="O87" s="251">
        <v>110000</v>
      </c>
      <c r="P87" s="251"/>
      <c r="Q87" s="251"/>
      <c r="R87" s="79"/>
      <c r="S87" s="79"/>
      <c r="T87" s="79"/>
      <c r="U87" s="226">
        <v>83987.42</v>
      </c>
      <c r="V87" s="3"/>
      <c r="W87" s="225">
        <f t="shared" si="2"/>
        <v>110.50976315789474</v>
      </c>
      <c r="X87" s="43" t="e">
        <f t="shared" si="3"/>
        <v>#DIV/0!</v>
      </c>
    </row>
    <row r="88" spans="1:24" s="1" customFormat="1" ht="22.5" customHeight="1" hidden="1">
      <c r="A88" s="166"/>
      <c r="B88" s="365"/>
      <c r="C88" s="278" t="s">
        <v>186</v>
      </c>
      <c r="D88" s="248">
        <v>421412</v>
      </c>
      <c r="E88" s="249" t="s">
        <v>187</v>
      </c>
      <c r="F88" s="250">
        <f t="shared" si="6"/>
        <v>970000</v>
      </c>
      <c r="G88" s="251"/>
      <c r="H88" s="251"/>
      <c r="I88" s="251">
        <v>770000</v>
      </c>
      <c r="J88" s="251"/>
      <c r="K88" s="251">
        <v>200000</v>
      </c>
      <c r="L88" s="250">
        <f t="shared" si="7"/>
        <v>1170000</v>
      </c>
      <c r="M88" s="251"/>
      <c r="N88" s="251"/>
      <c r="O88" s="251">
        <v>770000</v>
      </c>
      <c r="P88" s="251"/>
      <c r="Q88" s="251">
        <v>400000</v>
      </c>
      <c r="R88" s="79"/>
      <c r="S88" s="79"/>
      <c r="T88" s="79"/>
      <c r="U88" s="226">
        <v>354349.99</v>
      </c>
      <c r="V88" s="3">
        <v>340584</v>
      </c>
      <c r="W88" s="43">
        <f t="shared" si="2"/>
        <v>46.01947922077922</v>
      </c>
      <c r="X88" s="225">
        <f t="shared" si="3"/>
        <v>170.292</v>
      </c>
    </row>
    <row r="89" spans="1:24" s="50" customFormat="1" ht="22.5" customHeight="1" hidden="1">
      <c r="A89" s="169"/>
      <c r="B89" s="365"/>
      <c r="C89" s="278" t="s">
        <v>188</v>
      </c>
      <c r="D89" s="248">
        <v>421414</v>
      </c>
      <c r="E89" s="249" t="s">
        <v>189</v>
      </c>
      <c r="F89" s="250">
        <f t="shared" si="6"/>
        <v>243553</v>
      </c>
      <c r="G89" s="251"/>
      <c r="H89" s="251"/>
      <c r="I89" s="251">
        <f>124000-447-20000</f>
        <v>103553</v>
      </c>
      <c r="J89" s="251"/>
      <c r="K89" s="251">
        <f>30000+110000</f>
        <v>140000</v>
      </c>
      <c r="L89" s="250">
        <f t="shared" si="7"/>
        <v>300000</v>
      </c>
      <c r="M89" s="251"/>
      <c r="N89" s="251"/>
      <c r="O89" s="251">
        <v>160000</v>
      </c>
      <c r="P89" s="251"/>
      <c r="Q89" s="251">
        <f>30000+110000</f>
        <v>140000</v>
      </c>
      <c r="R89" s="79"/>
      <c r="S89" s="79"/>
      <c r="T89" s="79"/>
      <c r="U89" s="228">
        <v>116114.58</v>
      </c>
      <c r="V89" s="66">
        <f>13811.76-7048.29</f>
        <v>6763.47</v>
      </c>
      <c r="W89" s="225">
        <f t="shared" si="2"/>
        <v>112.13058047569844</v>
      </c>
      <c r="X89" s="43">
        <f t="shared" si="3"/>
        <v>4.83105</v>
      </c>
    </row>
    <row r="90" spans="1:24" s="1" customFormat="1" ht="22.5" customHeight="1" hidden="1">
      <c r="A90" s="166"/>
      <c r="B90" s="365"/>
      <c r="C90" s="168" t="s">
        <v>190</v>
      </c>
      <c r="D90" s="105">
        <v>421421</v>
      </c>
      <c r="E90" s="106" t="s">
        <v>191</v>
      </c>
      <c r="F90" s="17">
        <f t="shared" si="6"/>
        <v>228000</v>
      </c>
      <c r="G90" s="33"/>
      <c r="H90" s="33"/>
      <c r="I90" s="33">
        <v>228000</v>
      </c>
      <c r="J90" s="33"/>
      <c r="K90" s="33"/>
      <c r="L90" s="17">
        <f t="shared" si="7"/>
        <v>228000</v>
      </c>
      <c r="M90" s="33"/>
      <c r="N90" s="33"/>
      <c r="O90" s="33">
        <v>228000</v>
      </c>
      <c r="P90" s="33"/>
      <c r="Q90" s="33"/>
      <c r="R90" s="79"/>
      <c r="S90" s="79"/>
      <c r="T90" s="79"/>
      <c r="U90" s="226">
        <v>191166</v>
      </c>
      <c r="V90" s="3"/>
      <c r="W90" s="43">
        <f t="shared" si="2"/>
        <v>83.84473684210526</v>
      </c>
      <c r="X90" s="43" t="e">
        <f t="shared" si="3"/>
        <v>#DIV/0!</v>
      </c>
    </row>
    <row r="91" spans="1:24" s="1" customFormat="1" ht="22.5" customHeight="1" hidden="1">
      <c r="A91" s="166"/>
      <c r="B91" s="365"/>
      <c r="C91" s="168" t="s">
        <v>192</v>
      </c>
      <c r="D91" s="105">
        <v>421429</v>
      </c>
      <c r="E91" s="106" t="s">
        <v>193</v>
      </c>
      <c r="F91" s="17">
        <f t="shared" si="6"/>
        <v>2500</v>
      </c>
      <c r="G91" s="33"/>
      <c r="H91" s="33"/>
      <c r="I91" s="33">
        <v>2500</v>
      </c>
      <c r="J91" s="33"/>
      <c r="K91" s="33"/>
      <c r="L91" s="17">
        <f t="shared" si="7"/>
        <v>2500</v>
      </c>
      <c r="M91" s="33"/>
      <c r="N91" s="33"/>
      <c r="O91" s="33">
        <v>2500</v>
      </c>
      <c r="P91" s="33"/>
      <c r="Q91" s="33"/>
      <c r="R91" s="79"/>
      <c r="S91" s="79"/>
      <c r="T91" s="79"/>
      <c r="U91" s="226">
        <v>1000</v>
      </c>
      <c r="V91" s="3"/>
      <c r="W91" s="43">
        <f t="shared" si="2"/>
        <v>40</v>
      </c>
      <c r="X91" s="43" t="e">
        <f t="shared" si="3"/>
        <v>#DIV/0!</v>
      </c>
    </row>
    <row r="92" spans="1:24" s="3" customFormat="1" ht="19.5" customHeight="1" hidden="1">
      <c r="A92" s="166"/>
      <c r="B92" s="167"/>
      <c r="C92" s="278" t="s">
        <v>194</v>
      </c>
      <c r="D92" s="248">
        <v>421419</v>
      </c>
      <c r="E92" s="249" t="s">
        <v>195</v>
      </c>
      <c r="F92" s="250">
        <f>+K92</f>
        <v>30000</v>
      </c>
      <c r="G92" s="251"/>
      <c r="H92" s="251"/>
      <c r="I92" s="251"/>
      <c r="J92" s="251"/>
      <c r="K92" s="251">
        <v>30000</v>
      </c>
      <c r="L92" s="250">
        <f>+Q92</f>
        <v>34000</v>
      </c>
      <c r="M92" s="251"/>
      <c r="N92" s="251"/>
      <c r="O92" s="251"/>
      <c r="P92" s="251"/>
      <c r="Q92" s="251">
        <v>34000</v>
      </c>
      <c r="R92" s="79"/>
      <c r="S92" s="79"/>
      <c r="T92" s="79"/>
      <c r="U92" s="226"/>
      <c r="V92" s="3">
        <v>30493.74</v>
      </c>
      <c r="W92" s="43" t="e">
        <f t="shared" si="2"/>
        <v>#DIV/0!</v>
      </c>
      <c r="X92" s="225">
        <f t="shared" si="3"/>
        <v>101.64580000000001</v>
      </c>
    </row>
    <row r="93" spans="1:24" s="3" customFormat="1" ht="24.75" customHeight="1">
      <c r="A93" s="166"/>
      <c r="B93" s="151"/>
      <c r="C93" s="336" t="s">
        <v>72</v>
      </c>
      <c r="D93" s="334">
        <v>421500</v>
      </c>
      <c r="E93" s="313" t="s">
        <v>429</v>
      </c>
      <c r="F93" s="324">
        <f>SUM(G93:K93)</f>
        <v>1658834</v>
      </c>
      <c r="G93" s="311"/>
      <c r="H93" s="311"/>
      <c r="I93" s="311">
        <f>+I94+I95+I97+I96</f>
        <v>1653834</v>
      </c>
      <c r="J93" s="311"/>
      <c r="K93" s="311">
        <f>+K94+K95+K97+K96</f>
        <v>5000</v>
      </c>
      <c r="L93" s="324">
        <f>SUM(M93:Q93)</f>
        <v>2119570</v>
      </c>
      <c r="M93" s="311"/>
      <c r="N93" s="311"/>
      <c r="O93" s="311">
        <f>+O94+O95+O97+O96</f>
        <v>2114570</v>
      </c>
      <c r="P93" s="311"/>
      <c r="Q93" s="311">
        <f>+Q94+Q95+Q97+Q96</f>
        <v>5000</v>
      </c>
      <c r="R93" s="80"/>
      <c r="S93" s="80"/>
      <c r="T93" s="80"/>
      <c r="U93" s="226"/>
      <c r="W93" s="43">
        <f t="shared" si="2"/>
        <v>0</v>
      </c>
      <c r="X93" s="43">
        <f t="shared" si="3"/>
        <v>0</v>
      </c>
    </row>
    <row r="94" spans="1:24" s="3" customFormat="1" ht="19.5" customHeight="1" hidden="1">
      <c r="A94" s="166"/>
      <c r="B94" s="365"/>
      <c r="C94" s="292" t="s">
        <v>196</v>
      </c>
      <c r="D94" s="231">
        <v>421512</v>
      </c>
      <c r="E94" s="337" t="s">
        <v>197</v>
      </c>
      <c r="F94" s="236">
        <f>SUM(G94:K94)</f>
        <v>743000</v>
      </c>
      <c r="G94" s="291"/>
      <c r="H94" s="291"/>
      <c r="I94" s="291">
        <v>743000</v>
      </c>
      <c r="J94" s="291"/>
      <c r="K94" s="291"/>
      <c r="L94" s="236">
        <f>SUM(M94:Q94)</f>
        <v>1200000</v>
      </c>
      <c r="M94" s="291"/>
      <c r="N94" s="291"/>
      <c r="O94" s="291">
        <v>1200000</v>
      </c>
      <c r="P94" s="291"/>
      <c r="Q94" s="291"/>
      <c r="R94" s="79"/>
      <c r="S94" s="79"/>
      <c r="T94" s="79"/>
      <c r="U94" s="226">
        <f>873341.64+300000</f>
        <v>1173341.6400000001</v>
      </c>
      <c r="W94" s="225">
        <f t="shared" si="2"/>
        <v>157.91946702557203</v>
      </c>
      <c r="X94" s="43" t="e">
        <f t="shared" si="3"/>
        <v>#DIV/0!</v>
      </c>
    </row>
    <row r="95" spans="1:24" s="3" customFormat="1" ht="19.5" customHeight="1" hidden="1">
      <c r="A95" s="166"/>
      <c r="B95" s="365"/>
      <c r="C95" s="278" t="s">
        <v>198</v>
      </c>
      <c r="D95" s="248">
        <v>421513</v>
      </c>
      <c r="E95" s="284" t="s">
        <v>199</v>
      </c>
      <c r="F95" s="250">
        <f>SUM(G95:K95)</f>
        <v>181015</v>
      </c>
      <c r="G95" s="251"/>
      <c r="H95" s="251"/>
      <c r="I95" s="251">
        <v>181015</v>
      </c>
      <c r="J95" s="251"/>
      <c r="K95" s="251"/>
      <c r="L95" s="250">
        <f>SUM(M95:Q95)</f>
        <v>172490</v>
      </c>
      <c r="M95" s="251"/>
      <c r="N95" s="251"/>
      <c r="O95" s="251">
        <v>172490</v>
      </c>
      <c r="P95" s="251"/>
      <c r="Q95" s="251"/>
      <c r="R95" s="79"/>
      <c r="S95" s="79"/>
      <c r="T95" s="79"/>
      <c r="U95" s="226">
        <v>172490.01</v>
      </c>
      <c r="W95" s="225">
        <f t="shared" si="2"/>
        <v>95.29045106759109</v>
      </c>
      <c r="X95" s="43" t="e">
        <f t="shared" si="3"/>
        <v>#DIV/0!</v>
      </c>
    </row>
    <row r="96" spans="1:24" s="3" customFormat="1" ht="19.5" customHeight="1" hidden="1">
      <c r="A96" s="166"/>
      <c r="B96" s="365"/>
      <c r="C96" s="278" t="s">
        <v>200</v>
      </c>
      <c r="D96" s="248">
        <v>421519</v>
      </c>
      <c r="E96" s="284" t="s">
        <v>201</v>
      </c>
      <c r="F96" s="250">
        <f>SUM(G96:K96)</f>
        <v>315771</v>
      </c>
      <c r="G96" s="251"/>
      <c r="H96" s="251"/>
      <c r="I96" s="251">
        <v>315771</v>
      </c>
      <c r="J96" s="251"/>
      <c r="K96" s="251"/>
      <c r="L96" s="250">
        <f>SUM(M96:Q96)</f>
        <v>324296</v>
      </c>
      <c r="M96" s="251"/>
      <c r="N96" s="251"/>
      <c r="O96" s="251">
        <v>324296</v>
      </c>
      <c r="P96" s="251"/>
      <c r="Q96" s="251"/>
      <c r="R96" s="79"/>
      <c r="S96" s="79"/>
      <c r="T96" s="79"/>
      <c r="U96" s="226">
        <v>245440.97</v>
      </c>
      <c r="W96" s="43">
        <f t="shared" si="2"/>
        <v>77.7275208933056</v>
      </c>
      <c r="X96" s="43" t="e">
        <f t="shared" si="3"/>
        <v>#DIV/0!</v>
      </c>
    </row>
    <row r="97" spans="1:24" s="3" customFormat="1" ht="24" customHeight="1" hidden="1">
      <c r="A97" s="166"/>
      <c r="B97" s="365"/>
      <c r="C97" s="278" t="s">
        <v>202</v>
      </c>
      <c r="D97" s="248">
        <v>421521</v>
      </c>
      <c r="E97" s="284" t="s">
        <v>203</v>
      </c>
      <c r="F97" s="250">
        <f>SUM(G97:K97)</f>
        <v>419048</v>
      </c>
      <c r="G97" s="251"/>
      <c r="H97" s="251"/>
      <c r="I97" s="251">
        <v>414048</v>
      </c>
      <c r="J97" s="251"/>
      <c r="K97" s="251">
        <v>5000</v>
      </c>
      <c r="L97" s="250">
        <f>SUM(M97:Q97)</f>
        <v>422784</v>
      </c>
      <c r="M97" s="251"/>
      <c r="N97" s="251"/>
      <c r="O97" s="251">
        <v>417784</v>
      </c>
      <c r="P97" s="251"/>
      <c r="Q97" s="251">
        <v>5000</v>
      </c>
      <c r="R97" s="79"/>
      <c r="S97" s="79"/>
      <c r="T97" s="79"/>
      <c r="U97" s="226">
        <v>348776</v>
      </c>
      <c r="W97" s="43">
        <f t="shared" si="2"/>
        <v>84.2356441765206</v>
      </c>
      <c r="X97" s="43">
        <f t="shared" si="3"/>
        <v>0</v>
      </c>
    </row>
    <row r="98" spans="1:24" s="3" customFormat="1" ht="24.75" customHeight="1">
      <c r="A98" s="166"/>
      <c r="B98" s="167"/>
      <c r="C98" s="142" t="s">
        <v>73</v>
      </c>
      <c r="D98" s="107">
        <v>421600</v>
      </c>
      <c r="E98" s="165" t="s">
        <v>430</v>
      </c>
      <c r="F98" s="18">
        <f>+I98+K98</f>
        <v>234500</v>
      </c>
      <c r="G98" s="33"/>
      <c r="H98" s="47"/>
      <c r="I98" s="47"/>
      <c r="J98" s="47"/>
      <c r="K98" s="47">
        <f>+K100+K99</f>
        <v>234500</v>
      </c>
      <c r="L98" s="18">
        <f>+O98+Q98</f>
        <v>234500</v>
      </c>
      <c r="M98" s="33"/>
      <c r="N98" s="47"/>
      <c r="O98" s="47"/>
      <c r="P98" s="47"/>
      <c r="Q98" s="47">
        <f>+Q100+Q99</f>
        <v>234500</v>
      </c>
      <c r="R98" s="80"/>
      <c r="S98" s="80"/>
      <c r="T98" s="80"/>
      <c r="U98" s="226"/>
      <c r="W98" s="43" t="e">
        <f t="shared" si="2"/>
        <v>#DIV/0!</v>
      </c>
      <c r="X98" s="43">
        <f t="shared" si="3"/>
        <v>0</v>
      </c>
    </row>
    <row r="99" spans="1:24" s="3" customFormat="1" ht="24.75" customHeight="1" hidden="1">
      <c r="A99" s="166"/>
      <c r="B99" s="170"/>
      <c r="C99" s="171" t="s">
        <v>204</v>
      </c>
      <c r="D99" s="105">
        <v>421619</v>
      </c>
      <c r="E99" s="148" t="s">
        <v>419</v>
      </c>
      <c r="F99" s="17">
        <f>SUM(G99:K99)</f>
        <v>104500</v>
      </c>
      <c r="G99" s="47"/>
      <c r="H99" s="47"/>
      <c r="I99" s="33"/>
      <c r="J99" s="33"/>
      <c r="K99" s="33">
        <f>9500*11</f>
        <v>104500</v>
      </c>
      <c r="L99" s="17">
        <f>SUM(M99:Q99)</f>
        <v>104500</v>
      </c>
      <c r="M99" s="47"/>
      <c r="N99" s="47"/>
      <c r="O99" s="33"/>
      <c r="P99" s="33"/>
      <c r="Q99" s="33">
        <f>9500*11</f>
        <v>104500</v>
      </c>
      <c r="R99" s="79"/>
      <c r="S99" s="79"/>
      <c r="T99" s="79"/>
      <c r="U99" s="226"/>
      <c r="V99" s="3">
        <v>85374</v>
      </c>
      <c r="W99" s="43" t="e">
        <f t="shared" si="2"/>
        <v>#DIV/0!</v>
      </c>
      <c r="X99" s="43">
        <f t="shared" si="3"/>
        <v>81.6976076555024</v>
      </c>
    </row>
    <row r="100" spans="1:24" s="3" customFormat="1" ht="27.75" customHeight="1" hidden="1">
      <c r="A100" s="166"/>
      <c r="B100" s="172"/>
      <c r="C100" s="171" t="s">
        <v>418</v>
      </c>
      <c r="D100" s="105">
        <v>421625</v>
      </c>
      <c r="E100" s="148" t="s">
        <v>205</v>
      </c>
      <c r="F100" s="17">
        <f>SUM(G100:K100)</f>
        <v>130000</v>
      </c>
      <c r="G100" s="47"/>
      <c r="H100" s="47"/>
      <c r="I100" s="33"/>
      <c r="J100" s="33"/>
      <c r="K100" s="33">
        <v>130000</v>
      </c>
      <c r="L100" s="17">
        <f>SUM(M100:Q100)</f>
        <v>130000</v>
      </c>
      <c r="M100" s="47"/>
      <c r="N100" s="47"/>
      <c r="O100" s="33"/>
      <c r="P100" s="33"/>
      <c r="Q100" s="33">
        <v>130000</v>
      </c>
      <c r="R100" s="79"/>
      <c r="S100" s="79"/>
      <c r="T100" s="79"/>
      <c r="U100" s="226"/>
      <c r="V100" s="3">
        <v>85831.2</v>
      </c>
      <c r="W100" s="43" t="e">
        <f t="shared" si="2"/>
        <v>#DIV/0!</v>
      </c>
      <c r="X100" s="43">
        <f t="shared" si="3"/>
        <v>66.024</v>
      </c>
    </row>
    <row r="101" spans="1:24" s="3" customFormat="1" ht="27" customHeight="1">
      <c r="A101" s="173">
        <v>2</v>
      </c>
      <c r="B101" s="154">
        <v>422000</v>
      </c>
      <c r="C101" s="174"/>
      <c r="D101" s="364" t="s">
        <v>74</v>
      </c>
      <c r="E101" s="364"/>
      <c r="F101" s="18">
        <f>SUM(G101:K101)</f>
        <v>1312000</v>
      </c>
      <c r="G101" s="34"/>
      <c r="H101" s="34"/>
      <c r="I101" s="18">
        <f>+I104+I102</f>
        <v>1241000</v>
      </c>
      <c r="J101" s="18"/>
      <c r="K101" s="18">
        <f>+K104</f>
        <v>71000</v>
      </c>
      <c r="L101" s="18">
        <f>SUM(M101:Q101)</f>
        <v>1402000</v>
      </c>
      <c r="M101" s="34"/>
      <c r="N101" s="34"/>
      <c r="O101" s="18">
        <f>+O104+O102</f>
        <v>1331000</v>
      </c>
      <c r="P101" s="18"/>
      <c r="Q101" s="18">
        <f>+Q104</f>
        <v>71000</v>
      </c>
      <c r="R101" s="61"/>
      <c r="S101" s="61"/>
      <c r="T101" s="61"/>
      <c r="U101" s="226"/>
      <c r="W101" s="43">
        <f t="shared" si="2"/>
        <v>0</v>
      </c>
      <c r="X101" s="43">
        <f t="shared" si="3"/>
        <v>0</v>
      </c>
    </row>
    <row r="102" spans="1:24" s="3" customFormat="1" ht="21" customHeight="1">
      <c r="A102" s="162"/>
      <c r="B102" s="135"/>
      <c r="C102" s="107" t="s">
        <v>75</v>
      </c>
      <c r="D102" s="108">
        <v>422100</v>
      </c>
      <c r="E102" s="109" t="s">
        <v>411</v>
      </c>
      <c r="F102" s="18">
        <f>+G102+H102+I102+J102+K102</f>
        <v>19000</v>
      </c>
      <c r="G102" s="34"/>
      <c r="H102" s="34"/>
      <c r="I102" s="18">
        <f>+I103</f>
        <v>19000</v>
      </c>
      <c r="J102" s="18"/>
      <c r="K102" s="18"/>
      <c r="L102" s="18">
        <f>+M102+N102+O102+P102+Q102</f>
        <v>19000</v>
      </c>
      <c r="M102" s="34"/>
      <c r="N102" s="34"/>
      <c r="O102" s="18">
        <f>+O103</f>
        <v>19000</v>
      </c>
      <c r="P102" s="18"/>
      <c r="Q102" s="18"/>
      <c r="R102" s="61"/>
      <c r="S102" s="61"/>
      <c r="T102" s="61"/>
      <c r="U102" s="226"/>
      <c r="W102" s="43">
        <f t="shared" si="2"/>
        <v>0</v>
      </c>
      <c r="X102" s="43" t="e">
        <f t="shared" si="3"/>
        <v>#DIV/0!</v>
      </c>
    </row>
    <row r="103" spans="1:24" s="3" customFormat="1" ht="21" customHeight="1" hidden="1">
      <c r="A103" s="162"/>
      <c r="B103" s="107"/>
      <c r="C103" s="105"/>
      <c r="D103" s="110">
        <v>422131</v>
      </c>
      <c r="E103" s="175" t="s">
        <v>411</v>
      </c>
      <c r="F103" s="17"/>
      <c r="G103" s="35"/>
      <c r="H103" s="35"/>
      <c r="I103" s="17">
        <v>19000</v>
      </c>
      <c r="J103" s="17"/>
      <c r="K103" s="17"/>
      <c r="L103" s="17"/>
      <c r="M103" s="35"/>
      <c r="N103" s="35"/>
      <c r="O103" s="17">
        <v>19000</v>
      </c>
      <c r="P103" s="17"/>
      <c r="Q103" s="17"/>
      <c r="R103" s="64"/>
      <c r="S103" s="64"/>
      <c r="T103" s="64"/>
      <c r="U103" s="226"/>
      <c r="W103" s="43">
        <f t="shared" si="2"/>
        <v>0</v>
      </c>
      <c r="X103" s="43" t="e">
        <f t="shared" si="3"/>
        <v>#DIV/0!</v>
      </c>
    </row>
    <row r="104" spans="1:24" s="3" customFormat="1" ht="24.75" customHeight="1">
      <c r="A104" s="176"/>
      <c r="B104" s="177"/>
      <c r="C104" s="290" t="s">
        <v>410</v>
      </c>
      <c r="D104" s="334">
        <v>422300</v>
      </c>
      <c r="E104" s="313" t="s">
        <v>76</v>
      </c>
      <c r="F104" s="324">
        <f>+G104+H104+I104+K104</f>
        <v>1293000</v>
      </c>
      <c r="G104" s="311"/>
      <c r="H104" s="311"/>
      <c r="I104" s="311">
        <f>+I106+I109+I105+I107+I108</f>
        <v>1222000</v>
      </c>
      <c r="J104" s="311"/>
      <c r="K104" s="311">
        <f>+K107+K105+K108+K106</f>
        <v>71000</v>
      </c>
      <c r="L104" s="324">
        <f>+M104+N104+O104+Q104</f>
        <v>1383000</v>
      </c>
      <c r="M104" s="311"/>
      <c r="N104" s="311"/>
      <c r="O104" s="311">
        <f>+O106+O109+O105+O107+O108</f>
        <v>1312000</v>
      </c>
      <c r="P104" s="311"/>
      <c r="Q104" s="311">
        <f>+Q107+Q105+Q108+Q106</f>
        <v>71000</v>
      </c>
      <c r="R104" s="80"/>
      <c r="S104" s="80"/>
      <c r="T104" s="80"/>
      <c r="U104" s="226"/>
      <c r="W104" s="43">
        <f t="shared" si="2"/>
        <v>0</v>
      </c>
      <c r="X104" s="43">
        <f t="shared" si="3"/>
        <v>0</v>
      </c>
    </row>
    <row r="105" spans="1:24" s="3" customFormat="1" ht="24.75" customHeight="1" hidden="1">
      <c r="A105" s="176"/>
      <c r="B105" s="178"/>
      <c r="C105" s="310" t="s">
        <v>206</v>
      </c>
      <c r="D105" s="231">
        <v>422311</v>
      </c>
      <c r="E105" s="233" t="s">
        <v>207</v>
      </c>
      <c r="F105" s="236">
        <f>+H105+I105+K105</f>
        <v>870000</v>
      </c>
      <c r="G105" s="291"/>
      <c r="H105" s="291"/>
      <c r="I105" s="291">
        <v>820000</v>
      </c>
      <c r="J105" s="291"/>
      <c r="K105" s="291">
        <v>50000</v>
      </c>
      <c r="L105" s="236">
        <f>+N105+O105+Q105</f>
        <v>950000</v>
      </c>
      <c r="M105" s="291"/>
      <c r="N105" s="291"/>
      <c r="O105" s="291">
        <v>900000</v>
      </c>
      <c r="P105" s="291"/>
      <c r="Q105" s="291">
        <v>50000</v>
      </c>
      <c r="R105" s="79"/>
      <c r="S105" s="79"/>
      <c r="T105" s="79"/>
      <c r="U105" s="226">
        <v>682348.99</v>
      </c>
      <c r="V105" s="3">
        <v>4600.96</v>
      </c>
      <c r="W105" s="43">
        <f t="shared" si="2"/>
        <v>83.21329146341463</v>
      </c>
      <c r="X105" s="43">
        <f t="shared" si="3"/>
        <v>9.20192</v>
      </c>
    </row>
    <row r="106" spans="1:24" s="3" customFormat="1" ht="27.75" customHeight="1" hidden="1">
      <c r="A106" s="176"/>
      <c r="B106" s="180"/>
      <c r="C106" s="179" t="s">
        <v>208</v>
      </c>
      <c r="D106" s="105">
        <v>422321</v>
      </c>
      <c r="E106" s="106" t="s">
        <v>76</v>
      </c>
      <c r="F106" s="17">
        <f>+H106+I106+K106</f>
        <v>217000</v>
      </c>
      <c r="G106" s="33"/>
      <c r="H106" s="33"/>
      <c r="I106" s="33">
        <v>217000</v>
      </c>
      <c r="J106" s="33"/>
      <c r="K106" s="33"/>
      <c r="L106" s="17">
        <f>+N106+O106+Q106</f>
        <v>217000</v>
      </c>
      <c r="M106" s="33"/>
      <c r="N106" s="33"/>
      <c r="O106" s="33">
        <v>217000</v>
      </c>
      <c r="P106" s="33"/>
      <c r="Q106" s="33"/>
      <c r="R106" s="79"/>
      <c r="S106" s="79"/>
      <c r="T106" s="79"/>
      <c r="U106" s="226">
        <v>144160</v>
      </c>
      <c r="W106" s="43">
        <f t="shared" si="2"/>
        <v>66.4331797235023</v>
      </c>
      <c r="X106" s="43" t="e">
        <f t="shared" si="3"/>
        <v>#DIV/0!</v>
      </c>
    </row>
    <row r="107" spans="1:24" s="3" customFormat="1" ht="21.75" customHeight="1" hidden="1">
      <c r="A107" s="176"/>
      <c r="B107" s="180"/>
      <c r="C107" s="179" t="s">
        <v>209</v>
      </c>
      <c r="D107" s="105">
        <v>42232101</v>
      </c>
      <c r="E107" s="106" t="s">
        <v>210</v>
      </c>
      <c r="F107" s="17">
        <f>+H107+I107+K107</f>
        <v>45000</v>
      </c>
      <c r="G107" s="33"/>
      <c r="H107" s="33"/>
      <c r="I107" s="33">
        <v>25000</v>
      </c>
      <c r="J107" s="33"/>
      <c r="K107" s="33">
        <v>20000</v>
      </c>
      <c r="L107" s="17">
        <f>+N107+O107+Q107</f>
        <v>45000</v>
      </c>
      <c r="M107" s="33"/>
      <c r="N107" s="33"/>
      <c r="O107" s="33">
        <v>25000</v>
      </c>
      <c r="P107" s="33"/>
      <c r="Q107" s="33">
        <v>20000</v>
      </c>
      <c r="R107" s="79"/>
      <c r="S107" s="79"/>
      <c r="T107" s="79"/>
      <c r="U107" s="226"/>
      <c r="V107" s="3">
        <v>1200</v>
      </c>
      <c r="W107" s="43">
        <f t="shared" si="2"/>
        <v>0</v>
      </c>
      <c r="X107" s="43">
        <f t="shared" si="3"/>
        <v>6</v>
      </c>
    </row>
    <row r="108" spans="1:24" s="3" customFormat="1" ht="24.75" customHeight="1" hidden="1">
      <c r="A108" s="176"/>
      <c r="B108" s="180"/>
      <c r="C108" s="179" t="s">
        <v>211</v>
      </c>
      <c r="D108" s="105">
        <v>42232102</v>
      </c>
      <c r="E108" s="106" t="s">
        <v>212</v>
      </c>
      <c r="F108" s="17">
        <f>+H108+I108+K108</f>
        <v>11000</v>
      </c>
      <c r="G108" s="33"/>
      <c r="H108" s="33"/>
      <c r="I108" s="33">
        <v>10000</v>
      </c>
      <c r="J108" s="33"/>
      <c r="K108" s="33">
        <v>1000</v>
      </c>
      <c r="L108" s="17">
        <f>+N108+O108+Q108</f>
        <v>11000</v>
      </c>
      <c r="M108" s="33"/>
      <c r="N108" s="33"/>
      <c r="O108" s="33">
        <v>10000</v>
      </c>
      <c r="P108" s="33"/>
      <c r="Q108" s="33">
        <v>1000</v>
      </c>
      <c r="R108" s="79"/>
      <c r="S108" s="79"/>
      <c r="T108" s="79"/>
      <c r="U108" s="226">
        <v>11014.57</v>
      </c>
      <c r="V108" s="3">
        <v>260</v>
      </c>
      <c r="W108" s="225">
        <f t="shared" si="2"/>
        <v>110.14569999999999</v>
      </c>
      <c r="X108" s="43">
        <f t="shared" si="3"/>
        <v>26</v>
      </c>
    </row>
    <row r="109" spans="1:24" s="3" customFormat="1" ht="23.25" customHeight="1" hidden="1">
      <c r="A109" s="176"/>
      <c r="B109" s="180"/>
      <c r="C109" s="277" t="s">
        <v>213</v>
      </c>
      <c r="D109" s="248">
        <v>42232103</v>
      </c>
      <c r="E109" s="249" t="s">
        <v>214</v>
      </c>
      <c r="F109" s="250">
        <f>+H109+I109+K109</f>
        <v>150000</v>
      </c>
      <c r="G109" s="251"/>
      <c r="H109" s="251"/>
      <c r="I109" s="251">
        <v>150000</v>
      </c>
      <c r="J109" s="251"/>
      <c r="K109" s="251"/>
      <c r="L109" s="250">
        <f>+N109+O109+Q109</f>
        <v>160000</v>
      </c>
      <c r="M109" s="251"/>
      <c r="N109" s="251"/>
      <c r="O109" s="251">
        <v>160000</v>
      </c>
      <c r="P109" s="251"/>
      <c r="Q109" s="251"/>
      <c r="R109" s="79"/>
      <c r="S109" s="79"/>
      <c r="T109" s="79"/>
      <c r="U109" s="226">
        <v>151109.83</v>
      </c>
      <c r="W109" s="225">
        <f t="shared" si="2"/>
        <v>100.73988666666666</v>
      </c>
      <c r="X109" s="43" t="e">
        <f t="shared" si="3"/>
        <v>#DIV/0!</v>
      </c>
    </row>
    <row r="110" spans="1:24" s="3" customFormat="1" ht="23.25" customHeight="1">
      <c r="A110" s="123">
        <v>3</v>
      </c>
      <c r="B110" s="141">
        <v>423000</v>
      </c>
      <c r="C110" s="105"/>
      <c r="D110" s="364" t="s">
        <v>77</v>
      </c>
      <c r="E110" s="364"/>
      <c r="F110" s="18">
        <f>SUM(G110:K110)</f>
        <v>7524500</v>
      </c>
      <c r="G110" s="34"/>
      <c r="H110" s="34"/>
      <c r="I110" s="18">
        <f>+I111+I113+I115+I119+I121+I126+I128+I131</f>
        <v>4669500</v>
      </c>
      <c r="J110" s="18"/>
      <c r="K110" s="18">
        <f>+K111+K113+K115+K119+K121+K126+K128+K131</f>
        <v>2855000</v>
      </c>
      <c r="L110" s="18">
        <f>SUM(M110:Q110)</f>
        <v>7752375</v>
      </c>
      <c r="M110" s="34">
        <f>+M121</f>
        <v>21375</v>
      </c>
      <c r="N110" s="34"/>
      <c r="O110" s="18">
        <f>+O111+O113+O115+O119+O121+O126+O128+O131</f>
        <v>4396000</v>
      </c>
      <c r="P110" s="18"/>
      <c r="Q110" s="18">
        <f>+Q111+Q113+Q115+Q119+Q121+Q126+Q128+Q131</f>
        <v>3335000</v>
      </c>
      <c r="R110" s="61"/>
      <c r="S110" s="61"/>
      <c r="T110" s="61"/>
      <c r="U110" s="226"/>
      <c r="W110" s="43">
        <f aca="true" t="shared" si="8" ref="W110:W173">+U110/I110*100</f>
        <v>0</v>
      </c>
      <c r="X110" s="43">
        <f aca="true" t="shared" si="9" ref="X110:X173">+V110/K110*100</f>
        <v>0</v>
      </c>
    </row>
    <row r="111" spans="1:24" s="3" customFormat="1" ht="24.75" customHeight="1">
      <c r="A111" s="143"/>
      <c r="B111" s="154"/>
      <c r="C111" s="181" t="s">
        <v>78</v>
      </c>
      <c r="D111" s="107">
        <v>423100</v>
      </c>
      <c r="E111" s="131" t="s">
        <v>79</v>
      </c>
      <c r="F111" s="18">
        <f>SUM(G111:K111)</f>
        <v>1550000</v>
      </c>
      <c r="G111" s="34"/>
      <c r="H111" s="34"/>
      <c r="I111" s="18"/>
      <c r="J111" s="18"/>
      <c r="K111" s="18">
        <f>+K112</f>
        <v>1550000</v>
      </c>
      <c r="L111" s="18">
        <f>SUM(M111:Q111)</f>
        <v>1550000</v>
      </c>
      <c r="M111" s="34"/>
      <c r="N111" s="34"/>
      <c r="O111" s="18"/>
      <c r="P111" s="18"/>
      <c r="Q111" s="18">
        <f>+Q112</f>
        <v>1550000</v>
      </c>
      <c r="R111" s="61"/>
      <c r="S111" s="61"/>
      <c r="T111" s="61"/>
      <c r="U111" s="226"/>
      <c r="W111" s="43" t="e">
        <f t="shared" si="8"/>
        <v>#DIV/0!</v>
      </c>
      <c r="X111" s="43">
        <f t="shared" si="9"/>
        <v>0</v>
      </c>
    </row>
    <row r="112" spans="1:24" s="3" customFormat="1" ht="24.75" customHeight="1" hidden="1">
      <c r="A112" s="145"/>
      <c r="B112" s="154"/>
      <c r="C112" s="168" t="s">
        <v>215</v>
      </c>
      <c r="D112" s="105">
        <v>423191</v>
      </c>
      <c r="E112" s="165" t="s">
        <v>216</v>
      </c>
      <c r="F112" s="17">
        <f>SUM(G112:K112)</f>
        <v>1550000</v>
      </c>
      <c r="G112" s="33"/>
      <c r="H112" s="33"/>
      <c r="I112" s="33"/>
      <c r="J112" s="33"/>
      <c r="K112" s="33">
        <v>1550000</v>
      </c>
      <c r="L112" s="17">
        <f>SUM(M112:Q112)</f>
        <v>1550000</v>
      </c>
      <c r="M112" s="33"/>
      <c r="N112" s="33"/>
      <c r="O112" s="33"/>
      <c r="P112" s="33"/>
      <c r="Q112" s="33">
        <v>1550000</v>
      </c>
      <c r="R112" s="79"/>
      <c r="S112" s="79"/>
      <c r="T112" s="79"/>
      <c r="U112" s="226"/>
      <c r="V112" s="3">
        <v>1048095.3</v>
      </c>
      <c r="W112" s="43" t="e">
        <f t="shared" si="8"/>
        <v>#DIV/0!</v>
      </c>
      <c r="X112" s="43">
        <f t="shared" si="9"/>
        <v>67.61905161290322</v>
      </c>
    </row>
    <row r="113" spans="1:24" s="3" customFormat="1" ht="24.75" customHeight="1">
      <c r="A113" s="150"/>
      <c r="B113" s="151"/>
      <c r="C113" s="338" t="s">
        <v>80</v>
      </c>
      <c r="D113" s="334">
        <v>423200</v>
      </c>
      <c r="E113" s="313" t="s">
        <v>81</v>
      </c>
      <c r="F113" s="324">
        <f>SUM(G113:K113)</f>
        <v>2420000</v>
      </c>
      <c r="G113" s="311"/>
      <c r="H113" s="311"/>
      <c r="I113" s="311">
        <f>+I114</f>
        <v>2420000</v>
      </c>
      <c r="J113" s="311"/>
      <c r="K113" s="311"/>
      <c r="L113" s="324">
        <f>SUM(M113:Q113)</f>
        <v>2620000</v>
      </c>
      <c r="M113" s="311"/>
      <c r="N113" s="311"/>
      <c r="O113" s="311">
        <f>+O114</f>
        <v>2620000</v>
      </c>
      <c r="P113" s="311"/>
      <c r="Q113" s="311"/>
      <c r="R113" s="80"/>
      <c r="S113" s="80"/>
      <c r="T113" s="80"/>
      <c r="U113" s="226"/>
      <c r="W113" s="43">
        <f t="shared" si="8"/>
        <v>0</v>
      </c>
      <c r="X113" s="43" t="e">
        <f t="shared" si="9"/>
        <v>#DIV/0!</v>
      </c>
    </row>
    <row r="114" spans="1:24" s="3" customFormat="1" ht="19.5" customHeight="1" hidden="1">
      <c r="A114" s="150"/>
      <c r="B114" s="167"/>
      <c r="C114" s="168" t="s">
        <v>217</v>
      </c>
      <c r="D114" s="105">
        <v>423212</v>
      </c>
      <c r="E114" s="106" t="s">
        <v>218</v>
      </c>
      <c r="F114" s="17">
        <f>+I114</f>
        <v>2420000</v>
      </c>
      <c r="G114" s="33"/>
      <c r="H114" s="33"/>
      <c r="I114" s="33">
        <f>2520000-100000</f>
        <v>2420000</v>
      </c>
      <c r="J114" s="33"/>
      <c r="K114" s="33"/>
      <c r="L114" s="17">
        <f>+O114</f>
        <v>2620000</v>
      </c>
      <c r="M114" s="33"/>
      <c r="N114" s="33"/>
      <c r="O114" s="33">
        <v>2620000</v>
      </c>
      <c r="P114" s="33"/>
      <c r="Q114" s="33"/>
      <c r="R114" s="79"/>
      <c r="S114" s="79"/>
      <c r="T114" s="79"/>
      <c r="U114" s="226">
        <f>2089359.66+530000</f>
        <v>2619359.66</v>
      </c>
      <c r="W114" s="43">
        <f t="shared" si="8"/>
        <v>108.23800247933886</v>
      </c>
      <c r="X114" s="43" t="e">
        <f t="shared" si="9"/>
        <v>#DIV/0!</v>
      </c>
    </row>
    <row r="115" spans="1:24" s="3" customFormat="1" ht="24.75" customHeight="1">
      <c r="A115" s="150"/>
      <c r="B115" s="151"/>
      <c r="C115" s="338" t="s">
        <v>82</v>
      </c>
      <c r="D115" s="334">
        <v>423300</v>
      </c>
      <c r="E115" s="313" t="s">
        <v>83</v>
      </c>
      <c r="F115" s="324">
        <f aca="true" t="shared" si="10" ref="F115:F128">SUM(G115:K115)</f>
        <v>1305000</v>
      </c>
      <c r="G115" s="311"/>
      <c r="H115" s="311"/>
      <c r="I115" s="311">
        <f>+I116+I118+I117</f>
        <v>1105000</v>
      </c>
      <c r="J115" s="311"/>
      <c r="K115" s="311">
        <f>+K116+K118+K117</f>
        <v>200000</v>
      </c>
      <c r="L115" s="324">
        <f aca="true" t="shared" si="11" ref="L115:L128">SUM(M115:Q115)</f>
        <v>736000</v>
      </c>
      <c r="M115" s="311"/>
      <c r="N115" s="311"/>
      <c r="O115" s="311">
        <f>+O116+O118+O117</f>
        <v>536000</v>
      </c>
      <c r="P115" s="311"/>
      <c r="Q115" s="311">
        <f>+Q116+Q118+Q117</f>
        <v>200000</v>
      </c>
      <c r="R115" s="80"/>
      <c r="S115" s="80"/>
      <c r="T115" s="80"/>
      <c r="U115" s="226"/>
      <c r="W115" s="43">
        <f t="shared" si="8"/>
        <v>0</v>
      </c>
      <c r="X115" s="43">
        <f t="shared" si="9"/>
        <v>0</v>
      </c>
    </row>
    <row r="116" spans="1:24" s="3" customFormat="1" ht="24.75" customHeight="1" hidden="1">
      <c r="A116" s="150"/>
      <c r="B116" s="365"/>
      <c r="C116" s="278" t="s">
        <v>219</v>
      </c>
      <c r="D116" s="248">
        <v>423311</v>
      </c>
      <c r="E116" s="249" t="s">
        <v>220</v>
      </c>
      <c r="F116" s="250">
        <f t="shared" si="10"/>
        <v>1010000</v>
      </c>
      <c r="G116" s="251"/>
      <c r="H116" s="251"/>
      <c r="I116" s="251">
        <v>1010000</v>
      </c>
      <c r="J116" s="251"/>
      <c r="K116" s="251"/>
      <c r="L116" s="250">
        <f t="shared" si="11"/>
        <v>536000</v>
      </c>
      <c r="M116" s="251"/>
      <c r="N116" s="251"/>
      <c r="O116" s="251">
        <v>536000</v>
      </c>
      <c r="P116" s="251"/>
      <c r="Q116" s="251"/>
      <c r="R116" s="79"/>
      <c r="S116" s="79"/>
      <c r="T116" s="79"/>
      <c r="U116" s="226">
        <v>240000</v>
      </c>
      <c r="W116" s="43">
        <f t="shared" si="8"/>
        <v>23.762376237623762</v>
      </c>
      <c r="X116" s="43" t="e">
        <f t="shared" si="9"/>
        <v>#DIV/0!</v>
      </c>
    </row>
    <row r="117" spans="1:24" s="3" customFormat="1" ht="19.5" customHeight="1" hidden="1">
      <c r="A117" s="150"/>
      <c r="B117" s="365"/>
      <c r="C117" s="278" t="s">
        <v>221</v>
      </c>
      <c r="D117" s="248">
        <v>42331101</v>
      </c>
      <c r="E117" s="249" t="s">
        <v>222</v>
      </c>
      <c r="F117" s="250">
        <f t="shared" si="10"/>
        <v>230000</v>
      </c>
      <c r="G117" s="251"/>
      <c r="H117" s="251"/>
      <c r="I117" s="251">
        <v>80000</v>
      </c>
      <c r="J117" s="251"/>
      <c r="K117" s="251">
        <v>150000</v>
      </c>
      <c r="L117" s="250">
        <f t="shared" si="11"/>
        <v>150000</v>
      </c>
      <c r="M117" s="251"/>
      <c r="N117" s="251"/>
      <c r="O117" s="251"/>
      <c r="P117" s="251"/>
      <c r="Q117" s="251">
        <v>150000</v>
      </c>
      <c r="R117" s="79"/>
      <c r="S117" s="79"/>
      <c r="T117" s="79"/>
      <c r="U117" s="226"/>
      <c r="W117" s="43">
        <f t="shared" si="8"/>
        <v>0</v>
      </c>
      <c r="X117" s="43">
        <f t="shared" si="9"/>
        <v>0</v>
      </c>
    </row>
    <row r="118" spans="1:24" s="3" customFormat="1" ht="19.5" customHeight="1" hidden="1">
      <c r="A118" s="150"/>
      <c r="B118" s="365"/>
      <c r="C118" s="278" t="s">
        <v>223</v>
      </c>
      <c r="D118" s="248">
        <v>423321</v>
      </c>
      <c r="E118" s="249" t="s">
        <v>224</v>
      </c>
      <c r="F118" s="250">
        <f t="shared" si="10"/>
        <v>65000</v>
      </c>
      <c r="G118" s="251"/>
      <c r="H118" s="251"/>
      <c r="I118" s="251">
        <v>15000</v>
      </c>
      <c r="J118" s="251"/>
      <c r="K118" s="251">
        <v>50000</v>
      </c>
      <c r="L118" s="250">
        <f t="shared" si="11"/>
        <v>50000</v>
      </c>
      <c r="M118" s="251"/>
      <c r="N118" s="251"/>
      <c r="O118" s="251"/>
      <c r="P118" s="251"/>
      <c r="Q118" s="251">
        <v>50000</v>
      </c>
      <c r="R118" s="79"/>
      <c r="S118" s="79"/>
      <c r="T118" s="79"/>
      <c r="U118" s="226"/>
      <c r="V118" s="3">
        <v>24970</v>
      </c>
      <c r="W118" s="43">
        <f t="shared" si="8"/>
        <v>0</v>
      </c>
      <c r="X118" s="43">
        <f t="shared" si="9"/>
        <v>49.94</v>
      </c>
    </row>
    <row r="119" spans="1:24" s="3" customFormat="1" ht="24.75" customHeight="1">
      <c r="A119" s="150"/>
      <c r="B119" s="151"/>
      <c r="C119" s="181" t="s">
        <v>84</v>
      </c>
      <c r="D119" s="107">
        <v>423400</v>
      </c>
      <c r="E119" s="165" t="s">
        <v>85</v>
      </c>
      <c r="F119" s="18">
        <f t="shared" si="10"/>
        <v>105000</v>
      </c>
      <c r="G119" s="47"/>
      <c r="H119" s="47"/>
      <c r="I119" s="47">
        <f>+I120</f>
        <v>90000</v>
      </c>
      <c r="J119" s="47"/>
      <c r="K119" s="47">
        <f>+K120</f>
        <v>15000</v>
      </c>
      <c r="L119" s="18">
        <f t="shared" si="11"/>
        <v>105000</v>
      </c>
      <c r="M119" s="47"/>
      <c r="N119" s="47"/>
      <c r="O119" s="47">
        <f>+O120</f>
        <v>90000</v>
      </c>
      <c r="P119" s="47"/>
      <c r="Q119" s="47">
        <f>+Q120</f>
        <v>15000</v>
      </c>
      <c r="R119" s="80"/>
      <c r="S119" s="80"/>
      <c r="T119" s="80"/>
      <c r="U119" s="226"/>
      <c r="W119" s="43">
        <f t="shared" si="8"/>
        <v>0</v>
      </c>
      <c r="X119" s="43">
        <f t="shared" si="9"/>
        <v>0</v>
      </c>
    </row>
    <row r="120" spans="1:24" s="3" customFormat="1" ht="28.5" customHeight="1" hidden="1">
      <c r="A120" s="150"/>
      <c r="B120" s="167"/>
      <c r="C120" s="168" t="s">
        <v>225</v>
      </c>
      <c r="D120" s="105">
        <v>423432</v>
      </c>
      <c r="E120" s="106" t="s">
        <v>226</v>
      </c>
      <c r="F120" s="17">
        <f t="shared" si="10"/>
        <v>105000</v>
      </c>
      <c r="G120" s="33"/>
      <c r="H120" s="33"/>
      <c r="I120" s="33">
        <v>90000</v>
      </c>
      <c r="J120" s="33"/>
      <c r="K120" s="33">
        <v>15000</v>
      </c>
      <c r="L120" s="17">
        <f t="shared" si="11"/>
        <v>105000</v>
      </c>
      <c r="M120" s="33"/>
      <c r="N120" s="33"/>
      <c r="O120" s="33">
        <v>90000</v>
      </c>
      <c r="P120" s="33"/>
      <c r="Q120" s="33">
        <v>15000</v>
      </c>
      <c r="R120" s="79"/>
      <c r="S120" s="79"/>
      <c r="T120" s="79"/>
      <c r="U120" s="226">
        <v>48577.5</v>
      </c>
      <c r="V120" s="3">
        <v>10368</v>
      </c>
      <c r="W120" s="43">
        <f t="shared" si="8"/>
        <v>53.974999999999994</v>
      </c>
      <c r="X120" s="43">
        <f t="shared" si="9"/>
        <v>69.12</v>
      </c>
    </row>
    <row r="121" spans="1:24" s="3" customFormat="1" ht="24.75" customHeight="1">
      <c r="A121" s="150"/>
      <c r="B121" s="167"/>
      <c r="C121" s="338" t="s">
        <v>86</v>
      </c>
      <c r="D121" s="334">
        <v>423500</v>
      </c>
      <c r="E121" s="313" t="s">
        <v>87</v>
      </c>
      <c r="F121" s="324">
        <f t="shared" si="10"/>
        <v>600000</v>
      </c>
      <c r="G121" s="311"/>
      <c r="H121" s="311"/>
      <c r="I121" s="311"/>
      <c r="J121" s="311"/>
      <c r="K121" s="311">
        <f>+K122+K123+K124+K125</f>
        <v>600000</v>
      </c>
      <c r="L121" s="324">
        <f t="shared" si="11"/>
        <v>1001375</v>
      </c>
      <c r="M121" s="311">
        <f>+M124</f>
        <v>21375</v>
      </c>
      <c r="N121" s="311"/>
      <c r="O121" s="311"/>
      <c r="P121" s="311"/>
      <c r="Q121" s="311">
        <f>+Q122+Q123+Q124+Q125</f>
        <v>980000</v>
      </c>
      <c r="R121" s="80"/>
      <c r="S121" s="80"/>
      <c r="T121" s="80"/>
      <c r="U121" s="226"/>
      <c r="W121" s="43" t="e">
        <f t="shared" si="8"/>
        <v>#DIV/0!</v>
      </c>
      <c r="X121" s="43">
        <f t="shared" si="9"/>
        <v>0</v>
      </c>
    </row>
    <row r="122" spans="1:24" s="3" customFormat="1" ht="22.5" customHeight="1" hidden="1">
      <c r="A122" s="150"/>
      <c r="B122" s="167"/>
      <c r="C122" s="168" t="s">
        <v>227</v>
      </c>
      <c r="D122" s="105">
        <v>423591</v>
      </c>
      <c r="E122" s="106" t="s">
        <v>163</v>
      </c>
      <c r="F122" s="17">
        <f t="shared" si="10"/>
        <v>250000</v>
      </c>
      <c r="G122" s="33"/>
      <c r="H122" s="33"/>
      <c r="I122" s="33"/>
      <c r="J122" s="33"/>
      <c r="K122" s="33">
        <v>250000</v>
      </c>
      <c r="L122" s="17">
        <f t="shared" si="11"/>
        <v>250000</v>
      </c>
      <c r="M122" s="33"/>
      <c r="N122" s="33"/>
      <c r="O122" s="33"/>
      <c r="P122" s="33"/>
      <c r="Q122" s="33">
        <v>250000</v>
      </c>
      <c r="R122" s="79"/>
      <c r="S122" s="79"/>
      <c r="T122" s="79"/>
      <c r="U122" s="226"/>
      <c r="V122" s="3">
        <v>101347.79</v>
      </c>
      <c r="W122" s="43" t="e">
        <f t="shared" si="8"/>
        <v>#DIV/0!</v>
      </c>
      <c r="X122" s="43">
        <f t="shared" si="9"/>
        <v>40.539116</v>
      </c>
    </row>
    <row r="123" spans="1:24" s="3" customFormat="1" ht="22.5" customHeight="1" hidden="1">
      <c r="A123" s="150"/>
      <c r="B123" s="151"/>
      <c r="C123" s="278" t="s">
        <v>228</v>
      </c>
      <c r="D123" s="248">
        <v>4235991</v>
      </c>
      <c r="E123" s="285" t="s">
        <v>229</v>
      </c>
      <c r="F123" s="250">
        <f t="shared" si="10"/>
        <v>220000</v>
      </c>
      <c r="G123" s="251"/>
      <c r="H123" s="251"/>
      <c r="I123" s="251"/>
      <c r="J123" s="251"/>
      <c r="K123" s="251">
        <v>220000</v>
      </c>
      <c r="L123" s="250">
        <f t="shared" si="11"/>
        <v>250000</v>
      </c>
      <c r="M123" s="251"/>
      <c r="N123" s="251"/>
      <c r="O123" s="251"/>
      <c r="P123" s="251"/>
      <c r="Q123" s="251">
        <v>250000</v>
      </c>
      <c r="R123" s="79"/>
      <c r="S123" s="79"/>
      <c r="T123" s="79"/>
      <c r="U123" s="226"/>
      <c r="V123" s="3">
        <v>207941.76</v>
      </c>
      <c r="W123" s="43" t="e">
        <f t="shared" si="8"/>
        <v>#DIV/0!</v>
      </c>
      <c r="X123" s="225">
        <f t="shared" si="9"/>
        <v>94.51898181818183</v>
      </c>
    </row>
    <row r="124" spans="1:24" s="3" customFormat="1" ht="22.5" customHeight="1" hidden="1">
      <c r="A124" s="150"/>
      <c r="B124" s="151"/>
      <c r="C124" s="278" t="s">
        <v>230</v>
      </c>
      <c r="D124" s="248">
        <v>4235992</v>
      </c>
      <c r="E124" s="279" t="s">
        <v>231</v>
      </c>
      <c r="F124" s="250">
        <f t="shared" si="10"/>
        <v>80000</v>
      </c>
      <c r="G124" s="251"/>
      <c r="H124" s="251"/>
      <c r="I124" s="251"/>
      <c r="J124" s="251"/>
      <c r="K124" s="251">
        <v>80000</v>
      </c>
      <c r="L124" s="250">
        <f t="shared" si="11"/>
        <v>101375</v>
      </c>
      <c r="M124" s="251">
        <v>21375</v>
      </c>
      <c r="N124" s="251"/>
      <c r="O124" s="251"/>
      <c r="P124" s="251"/>
      <c r="Q124" s="251">
        <v>80000</v>
      </c>
      <c r="R124" s="79"/>
      <c r="S124" s="79"/>
      <c r="T124" s="79"/>
      <c r="U124" s="226"/>
      <c r="V124" s="3">
        <v>80000</v>
      </c>
      <c r="W124" s="43" t="e">
        <f t="shared" si="8"/>
        <v>#DIV/0!</v>
      </c>
      <c r="X124" s="225">
        <f t="shared" si="9"/>
        <v>100</v>
      </c>
    </row>
    <row r="125" spans="1:24" s="3" customFormat="1" ht="22.5" customHeight="1" hidden="1">
      <c r="A125" s="150"/>
      <c r="B125" s="151"/>
      <c r="C125" s="278" t="s">
        <v>232</v>
      </c>
      <c r="D125" s="248">
        <v>423599</v>
      </c>
      <c r="E125" s="279" t="s">
        <v>233</v>
      </c>
      <c r="F125" s="250">
        <f t="shared" si="10"/>
        <v>50000</v>
      </c>
      <c r="G125" s="251"/>
      <c r="H125" s="251"/>
      <c r="I125" s="251"/>
      <c r="J125" s="251"/>
      <c r="K125" s="251">
        <v>50000</v>
      </c>
      <c r="L125" s="250">
        <f t="shared" si="11"/>
        <v>400000</v>
      </c>
      <c r="M125" s="251"/>
      <c r="N125" s="251"/>
      <c r="O125" s="251"/>
      <c r="P125" s="251"/>
      <c r="Q125" s="251">
        <v>400000</v>
      </c>
      <c r="R125" s="79"/>
      <c r="S125" s="79"/>
      <c r="T125" s="79"/>
      <c r="U125" s="226"/>
      <c r="V125" s="3">
        <v>324330.39</v>
      </c>
      <c r="W125" s="43" t="e">
        <f t="shared" si="8"/>
        <v>#DIV/0!</v>
      </c>
      <c r="X125" s="225">
        <f t="shared" si="9"/>
        <v>648.66078</v>
      </c>
    </row>
    <row r="126" spans="1:24" s="1" customFormat="1" ht="24.75" customHeight="1">
      <c r="A126" s="150"/>
      <c r="B126" s="151"/>
      <c r="C126" s="338" t="s">
        <v>88</v>
      </c>
      <c r="D126" s="334">
        <v>423600</v>
      </c>
      <c r="E126" s="313" t="s">
        <v>89</v>
      </c>
      <c r="F126" s="324">
        <f t="shared" si="10"/>
        <v>984500</v>
      </c>
      <c r="G126" s="311"/>
      <c r="H126" s="311"/>
      <c r="I126" s="311">
        <f>+I127</f>
        <v>984500</v>
      </c>
      <c r="J126" s="311"/>
      <c r="K126" s="311"/>
      <c r="L126" s="324">
        <f t="shared" si="11"/>
        <v>1150000</v>
      </c>
      <c r="M126" s="311"/>
      <c r="N126" s="311"/>
      <c r="O126" s="311">
        <f>+O127</f>
        <v>1150000</v>
      </c>
      <c r="P126" s="311"/>
      <c r="Q126" s="311"/>
      <c r="R126" s="80"/>
      <c r="S126" s="80"/>
      <c r="T126" s="80"/>
      <c r="U126" s="226"/>
      <c r="V126" s="3"/>
      <c r="W126" s="43">
        <f t="shared" si="8"/>
        <v>0</v>
      </c>
      <c r="X126" s="43" t="e">
        <f t="shared" si="9"/>
        <v>#DIV/0!</v>
      </c>
    </row>
    <row r="127" spans="1:24" s="1" customFormat="1" ht="19.5" customHeight="1" hidden="1">
      <c r="A127" s="150"/>
      <c r="B127" s="151"/>
      <c r="C127" s="292" t="s">
        <v>234</v>
      </c>
      <c r="D127" s="231">
        <v>423611</v>
      </c>
      <c r="E127" s="233" t="s">
        <v>235</v>
      </c>
      <c r="F127" s="236">
        <f t="shared" si="10"/>
        <v>984500</v>
      </c>
      <c r="G127" s="291"/>
      <c r="H127" s="291"/>
      <c r="I127" s="291">
        <f>986000-1500</f>
        <v>984500</v>
      </c>
      <c r="J127" s="291"/>
      <c r="K127" s="311"/>
      <c r="L127" s="236">
        <f t="shared" si="11"/>
        <v>1150000</v>
      </c>
      <c r="M127" s="291"/>
      <c r="N127" s="291"/>
      <c r="O127" s="291">
        <v>1150000</v>
      </c>
      <c r="P127" s="291"/>
      <c r="Q127" s="311"/>
      <c r="R127" s="80"/>
      <c r="S127" s="80"/>
      <c r="T127" s="80"/>
      <c r="U127" s="226">
        <f>790501.1+260000</f>
        <v>1050501.1</v>
      </c>
      <c r="V127" s="3">
        <v>80136.71</v>
      </c>
      <c r="W127" s="43">
        <f t="shared" si="8"/>
        <v>106.70402234636873</v>
      </c>
      <c r="X127" s="43" t="e">
        <f t="shared" si="9"/>
        <v>#DIV/0!</v>
      </c>
    </row>
    <row r="128" spans="1:24" s="1" customFormat="1" ht="24.75" customHeight="1">
      <c r="A128" s="150"/>
      <c r="B128" s="151"/>
      <c r="C128" s="181" t="s">
        <v>90</v>
      </c>
      <c r="D128" s="107">
        <v>423700</v>
      </c>
      <c r="E128" s="165" t="s">
        <v>91</v>
      </c>
      <c r="F128" s="18">
        <f t="shared" si="10"/>
        <v>390000</v>
      </c>
      <c r="G128" s="47"/>
      <c r="H128" s="47"/>
      <c r="I128" s="47"/>
      <c r="J128" s="47"/>
      <c r="K128" s="47">
        <f>+K129+K130</f>
        <v>390000</v>
      </c>
      <c r="L128" s="18">
        <f t="shared" si="11"/>
        <v>390000</v>
      </c>
      <c r="M128" s="47"/>
      <c r="N128" s="47"/>
      <c r="O128" s="47"/>
      <c r="P128" s="47"/>
      <c r="Q128" s="47">
        <f>+Q129+Q130</f>
        <v>390000</v>
      </c>
      <c r="R128" s="80"/>
      <c r="S128" s="80"/>
      <c r="T128" s="80"/>
      <c r="U128" s="226"/>
      <c r="V128" s="3"/>
      <c r="W128" s="43" t="e">
        <f t="shared" si="8"/>
        <v>#DIV/0!</v>
      </c>
      <c r="X128" s="43">
        <f t="shared" si="9"/>
        <v>0</v>
      </c>
    </row>
    <row r="129" spans="1:24" s="1" customFormat="1" ht="19.5" customHeight="1" hidden="1">
      <c r="A129" s="150"/>
      <c r="B129" s="151"/>
      <c r="C129" s="168" t="s">
        <v>236</v>
      </c>
      <c r="D129" s="105">
        <v>423711</v>
      </c>
      <c r="E129" s="106" t="s">
        <v>91</v>
      </c>
      <c r="F129" s="17">
        <f>+K129</f>
        <v>330000</v>
      </c>
      <c r="G129" s="33"/>
      <c r="H129" s="33"/>
      <c r="I129" s="33"/>
      <c r="J129" s="33"/>
      <c r="K129" s="33">
        <f>440000-110000</f>
        <v>330000</v>
      </c>
      <c r="L129" s="17">
        <f>+Q129</f>
        <v>330000</v>
      </c>
      <c r="M129" s="33"/>
      <c r="N129" s="33"/>
      <c r="O129" s="33"/>
      <c r="P129" s="33"/>
      <c r="Q129" s="33">
        <f>440000-110000</f>
        <v>330000</v>
      </c>
      <c r="R129" s="79"/>
      <c r="S129" s="79"/>
      <c r="T129" s="79"/>
      <c r="U129" s="226"/>
      <c r="V129" s="3">
        <v>234707.5</v>
      </c>
      <c r="W129" s="43" t="e">
        <f t="shared" si="8"/>
        <v>#DIV/0!</v>
      </c>
      <c r="X129" s="43">
        <f t="shared" si="9"/>
        <v>71.12348484848485</v>
      </c>
    </row>
    <row r="130" spans="1:24" s="1" customFormat="1" ht="19.5" customHeight="1" hidden="1">
      <c r="A130" s="150"/>
      <c r="B130" s="151"/>
      <c r="C130" s="168" t="s">
        <v>237</v>
      </c>
      <c r="D130" s="105">
        <v>423712</v>
      </c>
      <c r="E130" s="106" t="s">
        <v>238</v>
      </c>
      <c r="F130" s="17">
        <f>+K130</f>
        <v>60000</v>
      </c>
      <c r="G130" s="33"/>
      <c r="H130" s="33"/>
      <c r="I130" s="33"/>
      <c r="J130" s="33"/>
      <c r="K130" s="33">
        <v>60000</v>
      </c>
      <c r="L130" s="17">
        <f>+Q130</f>
        <v>60000</v>
      </c>
      <c r="M130" s="33"/>
      <c r="N130" s="33"/>
      <c r="O130" s="33"/>
      <c r="P130" s="33"/>
      <c r="Q130" s="33">
        <v>60000</v>
      </c>
      <c r="R130" s="79"/>
      <c r="S130" s="79"/>
      <c r="T130" s="79"/>
      <c r="U130" s="226"/>
      <c r="V130" s="3"/>
      <c r="W130" s="43" t="e">
        <f t="shared" si="8"/>
        <v>#DIV/0!</v>
      </c>
      <c r="X130" s="43">
        <f t="shared" si="9"/>
        <v>0</v>
      </c>
    </row>
    <row r="131" spans="1:24" s="1" customFormat="1" ht="24.75" customHeight="1">
      <c r="A131" s="150"/>
      <c r="B131" s="151"/>
      <c r="C131" s="338" t="s">
        <v>92</v>
      </c>
      <c r="D131" s="334">
        <v>423900</v>
      </c>
      <c r="E131" s="313" t="s">
        <v>93</v>
      </c>
      <c r="F131" s="324">
        <f>SUM(G131:K131)</f>
        <v>170000</v>
      </c>
      <c r="G131" s="311"/>
      <c r="H131" s="311"/>
      <c r="I131" s="311">
        <f>+I132</f>
        <v>70000</v>
      </c>
      <c r="J131" s="311"/>
      <c r="K131" s="311">
        <f>+K132</f>
        <v>100000</v>
      </c>
      <c r="L131" s="324">
        <f>SUM(M131:Q131)</f>
        <v>200000</v>
      </c>
      <c r="M131" s="311"/>
      <c r="N131" s="311"/>
      <c r="O131" s="311">
        <f>+O132</f>
        <v>0</v>
      </c>
      <c r="P131" s="311"/>
      <c r="Q131" s="311">
        <f>+Q132</f>
        <v>200000</v>
      </c>
      <c r="R131" s="80"/>
      <c r="S131" s="80"/>
      <c r="T131" s="80"/>
      <c r="U131" s="226"/>
      <c r="V131" s="3"/>
      <c r="W131" s="43">
        <f t="shared" si="8"/>
        <v>0</v>
      </c>
      <c r="X131" s="43">
        <f t="shared" si="9"/>
        <v>0</v>
      </c>
    </row>
    <row r="132" spans="1:24" s="1" customFormat="1" ht="19.5" customHeight="1" hidden="1">
      <c r="A132" s="182"/>
      <c r="B132" s="183"/>
      <c r="C132" s="277" t="s">
        <v>239</v>
      </c>
      <c r="D132" s="248">
        <v>423911</v>
      </c>
      <c r="E132" s="279" t="s">
        <v>93</v>
      </c>
      <c r="F132" s="250">
        <f>SUM(G132:K132)</f>
        <v>170000</v>
      </c>
      <c r="G132" s="251"/>
      <c r="H132" s="251"/>
      <c r="I132" s="251">
        <v>70000</v>
      </c>
      <c r="J132" s="251"/>
      <c r="K132" s="251">
        <v>100000</v>
      </c>
      <c r="L132" s="250">
        <f>SUM(M132:Q132)</f>
        <v>200000</v>
      </c>
      <c r="M132" s="251"/>
      <c r="N132" s="251"/>
      <c r="O132" s="251"/>
      <c r="P132" s="251"/>
      <c r="Q132" s="251">
        <v>200000</v>
      </c>
      <c r="R132" s="79"/>
      <c r="S132" s="79"/>
      <c r="T132" s="79"/>
      <c r="U132" s="226"/>
      <c r="V132" s="3">
        <v>182797.07</v>
      </c>
      <c r="W132" s="43">
        <f t="shared" si="8"/>
        <v>0</v>
      </c>
      <c r="X132" s="225">
        <f t="shared" si="9"/>
        <v>182.79707000000002</v>
      </c>
    </row>
    <row r="133" spans="1:24" s="1" customFormat="1" ht="25.5" customHeight="1">
      <c r="A133" s="134">
        <v>4</v>
      </c>
      <c r="B133" s="141">
        <v>424000</v>
      </c>
      <c r="C133" s="105"/>
      <c r="D133" s="364" t="s">
        <v>94</v>
      </c>
      <c r="E133" s="364"/>
      <c r="F133" s="18">
        <f>SUM(G133:K133)</f>
        <v>1930000</v>
      </c>
      <c r="G133" s="34"/>
      <c r="H133" s="34"/>
      <c r="I133" s="18">
        <f>+I134+I139+I137</f>
        <v>226000</v>
      </c>
      <c r="J133" s="18"/>
      <c r="K133" s="18">
        <f>+K134+K140+K137</f>
        <v>1704000</v>
      </c>
      <c r="L133" s="18">
        <f>SUM(M133:Q133)</f>
        <v>2013000</v>
      </c>
      <c r="M133" s="34"/>
      <c r="N133" s="34"/>
      <c r="O133" s="18">
        <f>+O134+O139+O137</f>
        <v>309000</v>
      </c>
      <c r="P133" s="18"/>
      <c r="Q133" s="18">
        <f>+Q134+Q140+Q137</f>
        <v>1704000</v>
      </c>
      <c r="R133" s="61"/>
      <c r="S133" s="61"/>
      <c r="T133" s="61"/>
      <c r="U133" s="226"/>
      <c r="V133" s="3"/>
      <c r="W133" s="43">
        <f t="shared" si="8"/>
        <v>0</v>
      </c>
      <c r="X133" s="43">
        <f t="shared" si="9"/>
        <v>0</v>
      </c>
    </row>
    <row r="134" spans="1:24" s="1" customFormat="1" ht="24.75" customHeight="1">
      <c r="A134" s="184"/>
      <c r="B134" s="151"/>
      <c r="C134" s="338" t="s">
        <v>95</v>
      </c>
      <c r="D134" s="334">
        <v>424300</v>
      </c>
      <c r="E134" s="313" t="s">
        <v>96</v>
      </c>
      <c r="F134" s="324">
        <f>SUM(G134:K134)</f>
        <v>306000</v>
      </c>
      <c r="G134" s="311"/>
      <c r="H134" s="311"/>
      <c r="I134" s="311">
        <f>+I135</f>
        <v>206000</v>
      </c>
      <c r="J134" s="311"/>
      <c r="K134" s="311">
        <f>+K135+K136</f>
        <v>100000</v>
      </c>
      <c r="L134" s="324">
        <f>SUM(M134:Q134)</f>
        <v>389000</v>
      </c>
      <c r="M134" s="311"/>
      <c r="N134" s="311"/>
      <c r="O134" s="311">
        <f>+O135</f>
        <v>289000</v>
      </c>
      <c r="P134" s="311"/>
      <c r="Q134" s="311">
        <f>+Q135+Q136</f>
        <v>100000</v>
      </c>
      <c r="R134" s="80"/>
      <c r="S134" s="80"/>
      <c r="T134" s="80"/>
      <c r="U134" s="226"/>
      <c r="V134" s="3"/>
      <c r="W134" s="43">
        <f t="shared" si="8"/>
        <v>0</v>
      </c>
      <c r="X134" s="43">
        <f t="shared" si="9"/>
        <v>0</v>
      </c>
    </row>
    <row r="135" spans="1:24" s="1" customFormat="1" ht="26.25" customHeight="1" hidden="1">
      <c r="A135" s="150"/>
      <c r="B135" s="167"/>
      <c r="C135" s="286" t="s">
        <v>240</v>
      </c>
      <c r="D135" s="287">
        <v>424331</v>
      </c>
      <c r="E135" s="288" t="s">
        <v>241</v>
      </c>
      <c r="F135" s="250">
        <f>SUM(G135:K135)</f>
        <v>206000</v>
      </c>
      <c r="G135" s="251"/>
      <c r="H135" s="251"/>
      <c r="I135" s="251">
        <v>206000</v>
      </c>
      <c r="J135" s="251"/>
      <c r="K135" s="251"/>
      <c r="L135" s="250">
        <f>SUM(M135:Q135)</f>
        <v>289000</v>
      </c>
      <c r="M135" s="251"/>
      <c r="N135" s="251"/>
      <c r="O135" s="251">
        <f>229000+60000</f>
        <v>289000</v>
      </c>
      <c r="P135" s="251"/>
      <c r="Q135" s="251"/>
      <c r="R135" s="79"/>
      <c r="S135" s="79"/>
      <c r="T135" s="79"/>
      <c r="U135" s="226">
        <v>228810.1</v>
      </c>
      <c r="V135" s="3"/>
      <c r="W135" s="225">
        <f t="shared" si="8"/>
        <v>111.07286407766989</v>
      </c>
      <c r="X135" s="43" t="e">
        <f t="shared" si="9"/>
        <v>#DIV/0!</v>
      </c>
    </row>
    <row r="136" spans="1:24" s="1" customFormat="1" ht="19.5" customHeight="1" hidden="1">
      <c r="A136" s="150"/>
      <c r="B136" s="167"/>
      <c r="C136" s="185" t="s">
        <v>242</v>
      </c>
      <c r="D136" s="113">
        <v>424351</v>
      </c>
      <c r="E136" s="139" t="s">
        <v>243</v>
      </c>
      <c r="F136" s="17">
        <f>+K136</f>
        <v>100000</v>
      </c>
      <c r="G136" s="33"/>
      <c r="H136" s="33"/>
      <c r="I136" s="33"/>
      <c r="J136" s="33"/>
      <c r="K136" s="33">
        <v>100000</v>
      </c>
      <c r="L136" s="17">
        <f>+Q136</f>
        <v>100000</v>
      </c>
      <c r="M136" s="33"/>
      <c r="N136" s="33"/>
      <c r="O136" s="33"/>
      <c r="P136" s="33"/>
      <c r="Q136" s="33">
        <v>100000</v>
      </c>
      <c r="R136" s="79"/>
      <c r="S136" s="79"/>
      <c r="T136" s="79"/>
      <c r="U136" s="226"/>
      <c r="V136" s="3">
        <v>21840</v>
      </c>
      <c r="W136" s="43" t="e">
        <f t="shared" si="8"/>
        <v>#DIV/0!</v>
      </c>
      <c r="X136" s="43">
        <f t="shared" si="9"/>
        <v>21.84</v>
      </c>
    </row>
    <row r="137" spans="1:24" s="1" customFormat="1" ht="29.25" customHeight="1">
      <c r="A137" s="150"/>
      <c r="B137" s="167"/>
      <c r="C137" s="186" t="s">
        <v>97</v>
      </c>
      <c r="D137" s="141">
        <v>424600</v>
      </c>
      <c r="E137" s="187" t="s">
        <v>98</v>
      </c>
      <c r="F137" s="18">
        <f>+I137+K137</f>
        <v>44000</v>
      </c>
      <c r="G137" s="47"/>
      <c r="H137" s="47"/>
      <c r="I137" s="47">
        <f>+I138</f>
        <v>20000</v>
      </c>
      <c r="J137" s="47"/>
      <c r="K137" s="47">
        <f>+K138</f>
        <v>24000</v>
      </c>
      <c r="L137" s="18">
        <f>+O137+Q137</f>
        <v>44000</v>
      </c>
      <c r="M137" s="47"/>
      <c r="N137" s="47"/>
      <c r="O137" s="47">
        <f>+O138</f>
        <v>20000</v>
      </c>
      <c r="P137" s="47"/>
      <c r="Q137" s="47">
        <f>+Q138</f>
        <v>24000</v>
      </c>
      <c r="R137" s="80"/>
      <c r="S137" s="80"/>
      <c r="T137" s="80"/>
      <c r="U137" s="226"/>
      <c r="V137" s="3"/>
      <c r="W137" s="43">
        <f t="shared" si="8"/>
        <v>0</v>
      </c>
      <c r="X137" s="43">
        <f t="shared" si="9"/>
        <v>0</v>
      </c>
    </row>
    <row r="138" spans="1:24" s="1" customFormat="1" ht="19.5" customHeight="1" hidden="1">
      <c r="A138" s="150"/>
      <c r="B138" s="188"/>
      <c r="C138" s="185" t="s">
        <v>244</v>
      </c>
      <c r="D138" s="113">
        <v>424611</v>
      </c>
      <c r="E138" s="189" t="s">
        <v>245</v>
      </c>
      <c r="F138" s="17">
        <f>+I138+K138</f>
        <v>44000</v>
      </c>
      <c r="G138" s="33"/>
      <c r="H138" s="33"/>
      <c r="I138" s="33">
        <v>20000</v>
      </c>
      <c r="J138" s="33"/>
      <c r="K138" s="33">
        <v>24000</v>
      </c>
      <c r="L138" s="17">
        <f>+O138+Q138</f>
        <v>44000</v>
      </c>
      <c r="M138" s="33"/>
      <c r="N138" s="33"/>
      <c r="O138" s="33">
        <v>20000</v>
      </c>
      <c r="P138" s="33"/>
      <c r="Q138" s="33">
        <v>24000</v>
      </c>
      <c r="R138" s="79"/>
      <c r="S138" s="79"/>
      <c r="T138" s="79"/>
      <c r="U138" s="226"/>
      <c r="V138" s="3"/>
      <c r="W138" s="43">
        <f t="shared" si="8"/>
        <v>0</v>
      </c>
      <c r="X138" s="43">
        <f t="shared" si="9"/>
        <v>0</v>
      </c>
    </row>
    <row r="139" spans="1:24" s="38" customFormat="1" ht="24.75" customHeight="1">
      <c r="A139" s="150"/>
      <c r="B139" s="190"/>
      <c r="C139" s="167" t="s">
        <v>99</v>
      </c>
      <c r="D139" s="191">
        <v>424900</v>
      </c>
      <c r="E139" s="192" t="s">
        <v>100</v>
      </c>
      <c r="F139" s="18">
        <f aca="true" t="shared" si="12" ref="F139:F145">SUM(G139:K139)</f>
        <v>1580000</v>
      </c>
      <c r="G139" s="47"/>
      <c r="H139" s="47"/>
      <c r="I139" s="47"/>
      <c r="J139" s="47"/>
      <c r="K139" s="47">
        <f>+K140</f>
        <v>1580000</v>
      </c>
      <c r="L139" s="18">
        <f aca="true" t="shared" si="13" ref="L139:L145">SUM(M139:Q139)</f>
        <v>1580000</v>
      </c>
      <c r="M139" s="47"/>
      <c r="N139" s="47"/>
      <c r="O139" s="47"/>
      <c r="P139" s="47"/>
      <c r="Q139" s="47">
        <f>+Q140</f>
        <v>1580000</v>
      </c>
      <c r="R139" s="80"/>
      <c r="S139" s="80"/>
      <c r="T139" s="80"/>
      <c r="U139" s="229"/>
      <c r="V139" s="63"/>
      <c r="W139" s="43" t="e">
        <f t="shared" si="8"/>
        <v>#DIV/0!</v>
      </c>
      <c r="X139" s="43">
        <f t="shared" si="9"/>
        <v>0</v>
      </c>
    </row>
    <row r="140" spans="1:24" s="45" customFormat="1" ht="28.5" customHeight="1" hidden="1">
      <c r="A140" s="193"/>
      <c r="B140" s="92"/>
      <c r="C140" s="194" t="s">
        <v>246</v>
      </c>
      <c r="D140" s="195">
        <v>424911</v>
      </c>
      <c r="E140" s="196" t="s">
        <v>247</v>
      </c>
      <c r="F140" s="17">
        <f t="shared" si="12"/>
        <v>1580000</v>
      </c>
      <c r="G140" s="33"/>
      <c r="H140" s="33"/>
      <c r="I140" s="33"/>
      <c r="J140" s="33"/>
      <c r="K140" s="33">
        <v>1580000</v>
      </c>
      <c r="L140" s="17">
        <f t="shared" si="13"/>
        <v>1580000</v>
      </c>
      <c r="M140" s="33"/>
      <c r="N140" s="33"/>
      <c r="O140" s="33"/>
      <c r="P140" s="33"/>
      <c r="Q140" s="33">
        <v>1580000</v>
      </c>
      <c r="R140" s="79"/>
      <c r="S140" s="79"/>
      <c r="T140" s="79"/>
      <c r="U140" s="230"/>
      <c r="V140" s="67">
        <v>1118250</v>
      </c>
      <c r="W140" s="43" t="e">
        <f t="shared" si="8"/>
        <v>#DIV/0!</v>
      </c>
      <c r="X140" s="43">
        <f t="shared" si="9"/>
        <v>70.7753164556962</v>
      </c>
    </row>
    <row r="141" spans="1:24" s="1" customFormat="1" ht="23.25" customHeight="1">
      <c r="A141" s="123">
        <v>5</v>
      </c>
      <c r="B141" s="163">
        <v>425000</v>
      </c>
      <c r="C141" s="154"/>
      <c r="D141" s="366" t="s">
        <v>101</v>
      </c>
      <c r="E141" s="364"/>
      <c r="F141" s="18">
        <f t="shared" si="12"/>
        <v>14863448</v>
      </c>
      <c r="G141" s="34"/>
      <c r="H141" s="18"/>
      <c r="I141" s="18">
        <f>I142+I152</f>
        <v>14367448</v>
      </c>
      <c r="J141" s="18"/>
      <c r="K141" s="18">
        <f>K142+K152</f>
        <v>496000</v>
      </c>
      <c r="L141" s="18">
        <f t="shared" si="13"/>
        <v>22843076</v>
      </c>
      <c r="M141" s="34"/>
      <c r="N141" s="18"/>
      <c r="O141" s="18">
        <f>O142+O152</f>
        <v>22342076</v>
      </c>
      <c r="P141" s="18"/>
      <c r="Q141" s="18">
        <f>Q142+Q152</f>
        <v>501000</v>
      </c>
      <c r="R141" s="61"/>
      <c r="S141" s="61"/>
      <c r="T141" s="61"/>
      <c r="U141" s="226"/>
      <c r="V141" s="3"/>
      <c r="W141" s="43">
        <f t="shared" si="8"/>
        <v>0</v>
      </c>
      <c r="X141" s="43">
        <f t="shared" si="9"/>
        <v>0</v>
      </c>
    </row>
    <row r="142" spans="1:24" s="3" customFormat="1" ht="24.75" customHeight="1">
      <c r="A142" s="126"/>
      <c r="B142" s="197"/>
      <c r="C142" s="339" t="s">
        <v>102</v>
      </c>
      <c r="D142" s="334">
        <v>425100</v>
      </c>
      <c r="E142" s="313" t="s">
        <v>103</v>
      </c>
      <c r="F142" s="324">
        <f t="shared" si="12"/>
        <v>525000</v>
      </c>
      <c r="G142" s="311"/>
      <c r="H142" s="311"/>
      <c r="I142" s="311">
        <f>+I143+I144+I145+I146+I147+I148+I149+I151+I150</f>
        <v>525000</v>
      </c>
      <c r="J142" s="311"/>
      <c r="K142" s="311"/>
      <c r="L142" s="324">
        <f t="shared" si="13"/>
        <v>555000</v>
      </c>
      <c r="M142" s="311"/>
      <c r="N142" s="311"/>
      <c r="O142" s="311">
        <f>+O143+O144+O145+O146+O147+O148+O149+O151+O150</f>
        <v>555000</v>
      </c>
      <c r="P142" s="311"/>
      <c r="Q142" s="311"/>
      <c r="R142" s="80"/>
      <c r="S142" s="80"/>
      <c r="T142" s="80"/>
      <c r="U142" s="226"/>
      <c r="W142" s="43">
        <f t="shared" si="8"/>
        <v>0</v>
      </c>
      <c r="X142" s="43" t="e">
        <f t="shared" si="9"/>
        <v>#DIV/0!</v>
      </c>
    </row>
    <row r="143" spans="1:24" s="3" customFormat="1" ht="19.5" customHeight="1" hidden="1">
      <c r="A143" s="176"/>
      <c r="B143" s="367"/>
      <c r="C143" s="179" t="s">
        <v>248</v>
      </c>
      <c r="D143" s="105">
        <v>425111</v>
      </c>
      <c r="E143" s="106" t="s">
        <v>249</v>
      </c>
      <c r="F143" s="17">
        <f t="shared" si="12"/>
        <v>25000</v>
      </c>
      <c r="G143" s="47"/>
      <c r="H143" s="33"/>
      <c r="I143" s="33">
        <v>25000</v>
      </c>
      <c r="J143" s="33"/>
      <c r="K143" s="37"/>
      <c r="L143" s="17">
        <f t="shared" si="13"/>
        <v>25000</v>
      </c>
      <c r="M143" s="47"/>
      <c r="N143" s="33"/>
      <c r="O143" s="33">
        <v>25000</v>
      </c>
      <c r="P143" s="33"/>
      <c r="Q143" s="37"/>
      <c r="R143" s="81"/>
      <c r="S143" s="81"/>
      <c r="T143" s="81"/>
      <c r="U143" s="226"/>
      <c r="W143" s="43">
        <f t="shared" si="8"/>
        <v>0</v>
      </c>
      <c r="X143" s="43" t="e">
        <f t="shared" si="9"/>
        <v>#DIV/0!</v>
      </c>
    </row>
    <row r="144" spans="1:24" s="3" customFormat="1" ht="19.5" customHeight="1" hidden="1">
      <c r="A144" s="176"/>
      <c r="B144" s="367"/>
      <c r="C144" s="179" t="s">
        <v>250</v>
      </c>
      <c r="D144" s="105">
        <v>425112</v>
      </c>
      <c r="E144" s="106" t="s">
        <v>251</v>
      </c>
      <c r="F144" s="17">
        <f t="shared" si="12"/>
        <v>25000</v>
      </c>
      <c r="G144" s="33"/>
      <c r="H144" s="33"/>
      <c r="I144" s="33">
        <v>25000</v>
      </c>
      <c r="J144" s="33"/>
      <c r="K144" s="37"/>
      <c r="L144" s="17">
        <f t="shared" si="13"/>
        <v>25000</v>
      </c>
      <c r="M144" s="33"/>
      <c r="N144" s="33"/>
      <c r="O144" s="33">
        <v>25000</v>
      </c>
      <c r="P144" s="33"/>
      <c r="Q144" s="37"/>
      <c r="R144" s="81"/>
      <c r="S144" s="81"/>
      <c r="T144" s="81"/>
      <c r="U144" s="226"/>
      <c r="W144" s="43">
        <f t="shared" si="8"/>
        <v>0</v>
      </c>
      <c r="X144" s="43" t="e">
        <f t="shared" si="9"/>
        <v>#DIV/0!</v>
      </c>
    </row>
    <row r="145" spans="1:24" s="3" customFormat="1" ht="19.5" customHeight="1" hidden="1">
      <c r="A145" s="176"/>
      <c r="B145" s="367"/>
      <c r="C145" s="179" t="s">
        <v>252</v>
      </c>
      <c r="D145" s="105">
        <v>425113</v>
      </c>
      <c r="E145" s="106" t="s">
        <v>253</v>
      </c>
      <c r="F145" s="17">
        <f t="shared" si="12"/>
        <v>25000</v>
      </c>
      <c r="G145" s="33"/>
      <c r="H145" s="33"/>
      <c r="I145" s="33">
        <v>25000</v>
      </c>
      <c r="J145" s="33"/>
      <c r="K145" s="37"/>
      <c r="L145" s="17">
        <f t="shared" si="13"/>
        <v>25000</v>
      </c>
      <c r="M145" s="33"/>
      <c r="N145" s="33"/>
      <c r="O145" s="33">
        <v>25000</v>
      </c>
      <c r="P145" s="33"/>
      <c r="Q145" s="37"/>
      <c r="R145" s="81"/>
      <c r="S145" s="81"/>
      <c r="T145" s="81"/>
      <c r="U145" s="226"/>
      <c r="W145" s="43">
        <f t="shared" si="8"/>
        <v>0</v>
      </c>
      <c r="X145" s="43" t="e">
        <f t="shared" si="9"/>
        <v>#DIV/0!</v>
      </c>
    </row>
    <row r="146" spans="1:24" s="3" customFormat="1" ht="19.5" customHeight="1" hidden="1">
      <c r="A146" s="176"/>
      <c r="B146" s="367"/>
      <c r="C146" s="179" t="s">
        <v>254</v>
      </c>
      <c r="D146" s="105">
        <v>425114</v>
      </c>
      <c r="E146" s="106" t="s">
        <v>255</v>
      </c>
      <c r="F146" s="17">
        <f>+I146</f>
        <v>25000</v>
      </c>
      <c r="G146" s="33"/>
      <c r="H146" s="33"/>
      <c r="I146" s="33">
        <v>25000</v>
      </c>
      <c r="J146" s="33"/>
      <c r="K146" s="37"/>
      <c r="L146" s="17">
        <f>+O146</f>
        <v>25000</v>
      </c>
      <c r="M146" s="33"/>
      <c r="N146" s="33"/>
      <c r="O146" s="33">
        <v>25000</v>
      </c>
      <c r="P146" s="33"/>
      <c r="Q146" s="37"/>
      <c r="R146" s="81"/>
      <c r="S146" s="81"/>
      <c r="T146" s="81"/>
      <c r="U146" s="226"/>
      <c r="W146" s="43">
        <f t="shared" si="8"/>
        <v>0</v>
      </c>
      <c r="X146" s="43" t="e">
        <f t="shared" si="9"/>
        <v>#DIV/0!</v>
      </c>
    </row>
    <row r="147" spans="1:24" s="3" customFormat="1" ht="19.5" customHeight="1" hidden="1">
      <c r="A147" s="176"/>
      <c r="B147" s="367"/>
      <c r="C147" s="179" t="s">
        <v>256</v>
      </c>
      <c r="D147" s="105">
        <v>425115</v>
      </c>
      <c r="E147" s="106" t="s">
        <v>257</v>
      </c>
      <c r="F147" s="17">
        <f aca="true" t="shared" si="14" ref="F147:F183">SUM(G147:K147)</f>
        <v>40000</v>
      </c>
      <c r="G147" s="33"/>
      <c r="H147" s="33"/>
      <c r="I147" s="33">
        <v>40000</v>
      </c>
      <c r="J147" s="33"/>
      <c r="K147" s="37"/>
      <c r="L147" s="17">
        <f aca="true" t="shared" si="15" ref="L147:L183">SUM(M147:Q147)</f>
        <v>40000</v>
      </c>
      <c r="M147" s="33"/>
      <c r="N147" s="33"/>
      <c r="O147" s="33">
        <v>40000</v>
      </c>
      <c r="P147" s="33"/>
      <c r="Q147" s="37"/>
      <c r="R147" s="81"/>
      <c r="S147" s="81"/>
      <c r="T147" s="81"/>
      <c r="U147" s="226">
        <v>1101.6</v>
      </c>
      <c r="W147" s="43">
        <f t="shared" si="8"/>
        <v>2.754</v>
      </c>
      <c r="X147" s="43" t="e">
        <f t="shared" si="9"/>
        <v>#DIV/0!</v>
      </c>
    </row>
    <row r="148" spans="1:24" s="3" customFormat="1" ht="19.5" customHeight="1" hidden="1">
      <c r="A148" s="176"/>
      <c r="B148" s="367"/>
      <c r="C148" s="179" t="s">
        <v>258</v>
      </c>
      <c r="D148" s="105">
        <v>425116</v>
      </c>
      <c r="E148" s="106" t="s">
        <v>175</v>
      </c>
      <c r="F148" s="17">
        <f t="shared" si="14"/>
        <v>55000</v>
      </c>
      <c r="G148" s="33"/>
      <c r="H148" s="33"/>
      <c r="I148" s="33">
        <v>55000</v>
      </c>
      <c r="J148" s="33"/>
      <c r="K148" s="37"/>
      <c r="L148" s="17">
        <f t="shared" si="15"/>
        <v>55000</v>
      </c>
      <c r="M148" s="33"/>
      <c r="N148" s="33"/>
      <c r="O148" s="33">
        <v>55000</v>
      </c>
      <c r="P148" s="33"/>
      <c r="Q148" s="37"/>
      <c r="R148" s="81"/>
      <c r="S148" s="81"/>
      <c r="T148" s="81"/>
      <c r="U148" s="226"/>
      <c r="W148" s="43">
        <f t="shared" si="8"/>
        <v>0</v>
      </c>
      <c r="X148" s="43" t="e">
        <f t="shared" si="9"/>
        <v>#DIV/0!</v>
      </c>
    </row>
    <row r="149" spans="1:24" s="3" customFormat="1" ht="19.5" customHeight="1" hidden="1">
      <c r="A149" s="176"/>
      <c r="B149" s="367"/>
      <c r="C149" s="310" t="s">
        <v>259</v>
      </c>
      <c r="D149" s="231">
        <v>425117</v>
      </c>
      <c r="E149" s="233" t="s">
        <v>260</v>
      </c>
      <c r="F149" s="236">
        <f t="shared" si="14"/>
        <v>200000</v>
      </c>
      <c r="G149" s="291"/>
      <c r="H149" s="291"/>
      <c r="I149" s="291">
        <v>200000</v>
      </c>
      <c r="J149" s="291"/>
      <c r="K149" s="312"/>
      <c r="L149" s="236">
        <f t="shared" si="15"/>
        <v>230000</v>
      </c>
      <c r="M149" s="291"/>
      <c r="N149" s="291"/>
      <c r="O149" s="291">
        <v>230000</v>
      </c>
      <c r="P149" s="291"/>
      <c r="Q149" s="312"/>
      <c r="R149" s="81"/>
      <c r="S149" s="81"/>
      <c r="T149" s="81"/>
      <c r="U149" s="226">
        <f>178098+51000</f>
        <v>229098</v>
      </c>
      <c r="W149" s="43">
        <f t="shared" si="8"/>
        <v>114.54899999999999</v>
      </c>
      <c r="X149" s="43" t="e">
        <f t="shared" si="9"/>
        <v>#DIV/0!</v>
      </c>
    </row>
    <row r="150" spans="1:24" s="3" customFormat="1" ht="24" customHeight="1" hidden="1">
      <c r="A150" s="176"/>
      <c r="B150" s="367"/>
      <c r="C150" s="179" t="s">
        <v>261</v>
      </c>
      <c r="D150" s="105">
        <v>425118</v>
      </c>
      <c r="E150" s="106" t="s">
        <v>262</v>
      </c>
      <c r="F150" s="17">
        <f t="shared" si="14"/>
        <v>50000</v>
      </c>
      <c r="G150" s="33"/>
      <c r="H150" s="33"/>
      <c r="I150" s="33">
        <v>50000</v>
      </c>
      <c r="J150" s="33"/>
      <c r="K150" s="37"/>
      <c r="L150" s="17">
        <f t="shared" si="15"/>
        <v>50000</v>
      </c>
      <c r="M150" s="33"/>
      <c r="N150" s="33"/>
      <c r="O150" s="33">
        <v>50000</v>
      </c>
      <c r="P150" s="33"/>
      <c r="Q150" s="37"/>
      <c r="R150" s="81"/>
      <c r="S150" s="81"/>
      <c r="T150" s="81"/>
      <c r="U150" s="226">
        <v>8513.48</v>
      </c>
      <c r="W150" s="43">
        <f t="shared" si="8"/>
        <v>17.02696</v>
      </c>
      <c r="X150" s="43" t="e">
        <f t="shared" si="9"/>
        <v>#DIV/0!</v>
      </c>
    </row>
    <row r="151" spans="1:24" s="3" customFormat="1" ht="26.25" customHeight="1" hidden="1">
      <c r="A151" s="176"/>
      <c r="B151" s="367"/>
      <c r="C151" s="179" t="s">
        <v>263</v>
      </c>
      <c r="D151" s="105">
        <v>425119</v>
      </c>
      <c r="E151" s="106" t="s">
        <v>264</v>
      </c>
      <c r="F151" s="17">
        <f t="shared" si="14"/>
        <v>80000</v>
      </c>
      <c r="G151" s="33"/>
      <c r="H151" s="33"/>
      <c r="I151" s="33">
        <v>80000</v>
      </c>
      <c r="J151" s="33"/>
      <c r="K151" s="37"/>
      <c r="L151" s="17">
        <f t="shared" si="15"/>
        <v>80000</v>
      </c>
      <c r="M151" s="33"/>
      <c r="N151" s="33"/>
      <c r="O151" s="33">
        <v>80000</v>
      </c>
      <c r="P151" s="33"/>
      <c r="Q151" s="37"/>
      <c r="R151" s="81"/>
      <c r="S151" s="81"/>
      <c r="T151" s="81"/>
      <c r="U151" s="226">
        <v>29880</v>
      </c>
      <c r="W151" s="43">
        <f t="shared" si="8"/>
        <v>37.35</v>
      </c>
      <c r="X151" s="43" t="e">
        <f t="shared" si="9"/>
        <v>#DIV/0!</v>
      </c>
    </row>
    <row r="152" spans="1:24" s="3" customFormat="1" ht="24.75" customHeight="1">
      <c r="A152" s="176"/>
      <c r="B152" s="197"/>
      <c r="C152" s="290" t="s">
        <v>104</v>
      </c>
      <c r="D152" s="334">
        <v>425200</v>
      </c>
      <c r="E152" s="313" t="s">
        <v>433</v>
      </c>
      <c r="F152" s="324">
        <f t="shared" si="14"/>
        <v>14338448</v>
      </c>
      <c r="G152" s="311"/>
      <c r="H152" s="311"/>
      <c r="I152" s="311">
        <f>+I153+I156+I163</f>
        <v>13842448</v>
      </c>
      <c r="J152" s="311"/>
      <c r="K152" s="311">
        <f>+K153+K156+K163</f>
        <v>496000</v>
      </c>
      <c r="L152" s="324">
        <f t="shared" si="15"/>
        <v>22288076</v>
      </c>
      <c r="M152" s="311"/>
      <c r="N152" s="311"/>
      <c r="O152" s="311">
        <f>+O153+O156+O163</f>
        <v>21787076</v>
      </c>
      <c r="P152" s="311"/>
      <c r="Q152" s="311">
        <f>+Q153+Q156+Q163</f>
        <v>501000</v>
      </c>
      <c r="R152" s="80"/>
      <c r="S152" s="80"/>
      <c r="T152" s="80"/>
      <c r="U152" s="226"/>
      <c r="W152" s="43">
        <f t="shared" si="8"/>
        <v>0</v>
      </c>
      <c r="X152" s="43">
        <f t="shared" si="9"/>
        <v>0</v>
      </c>
    </row>
    <row r="153" spans="1:24" s="3" customFormat="1" ht="24.75" customHeight="1" hidden="1">
      <c r="A153" s="176"/>
      <c r="B153" s="199"/>
      <c r="C153" s="290" t="s">
        <v>265</v>
      </c>
      <c r="D153" s="334">
        <v>425210</v>
      </c>
      <c r="E153" s="313" t="s">
        <v>266</v>
      </c>
      <c r="F153" s="324">
        <f t="shared" si="14"/>
        <v>12088448</v>
      </c>
      <c r="G153" s="311"/>
      <c r="H153" s="311"/>
      <c r="I153" s="311">
        <f>+I154+I155</f>
        <v>11678448</v>
      </c>
      <c r="J153" s="311"/>
      <c r="K153" s="311">
        <f>+K154+K155</f>
        <v>410000</v>
      </c>
      <c r="L153" s="324">
        <f t="shared" si="15"/>
        <v>17524076</v>
      </c>
      <c r="M153" s="311"/>
      <c r="N153" s="311"/>
      <c r="O153" s="311">
        <f>+O154+O155</f>
        <v>17114076</v>
      </c>
      <c r="P153" s="311"/>
      <c r="Q153" s="311">
        <f>+Q154+Q155</f>
        <v>410000</v>
      </c>
      <c r="R153" s="80"/>
      <c r="S153" s="80"/>
      <c r="T153" s="80"/>
      <c r="U153" s="226"/>
      <c r="W153" s="43">
        <f t="shared" si="8"/>
        <v>0</v>
      </c>
      <c r="X153" s="43">
        <f t="shared" si="9"/>
        <v>0</v>
      </c>
    </row>
    <row r="154" spans="1:24" s="3" customFormat="1" ht="19.5" customHeight="1" hidden="1">
      <c r="A154" s="150"/>
      <c r="B154" s="200"/>
      <c r="C154" s="292" t="s">
        <v>267</v>
      </c>
      <c r="D154" s="231">
        <v>42521101</v>
      </c>
      <c r="E154" s="233" t="s">
        <v>268</v>
      </c>
      <c r="F154" s="236">
        <f t="shared" si="14"/>
        <v>11963448</v>
      </c>
      <c r="G154" s="291"/>
      <c r="H154" s="291"/>
      <c r="I154" s="291">
        <f>12000000-1303000-110000-510000-3552-110000+1590000</f>
        <v>11553448</v>
      </c>
      <c r="J154" s="291"/>
      <c r="K154" s="291">
        <v>410000</v>
      </c>
      <c r="L154" s="236">
        <f t="shared" si="15"/>
        <v>17399076</v>
      </c>
      <c r="M154" s="291"/>
      <c r="N154" s="291"/>
      <c r="O154" s="291">
        <f>17000000+209076-220000</f>
        <v>16989076</v>
      </c>
      <c r="P154" s="291"/>
      <c r="Q154" s="291">
        <v>410000</v>
      </c>
      <c r="R154" s="79"/>
      <c r="S154" s="79"/>
      <c r="T154" s="79"/>
      <c r="U154" s="226">
        <f>13611867.12+3260000</f>
        <v>16871867.119999997</v>
      </c>
      <c r="W154" s="225">
        <f t="shared" si="8"/>
        <v>146.033176589361</v>
      </c>
      <c r="X154" s="43">
        <f t="shared" si="9"/>
        <v>0</v>
      </c>
    </row>
    <row r="155" spans="1:24" s="3" customFormat="1" ht="19.5" customHeight="1" hidden="1">
      <c r="A155" s="150"/>
      <c r="B155" s="200"/>
      <c r="C155" s="168" t="s">
        <v>269</v>
      </c>
      <c r="D155" s="105">
        <v>42521102</v>
      </c>
      <c r="E155" s="148" t="s">
        <v>270</v>
      </c>
      <c r="F155" s="17">
        <f t="shared" si="14"/>
        <v>125000</v>
      </c>
      <c r="G155" s="48"/>
      <c r="H155" s="48"/>
      <c r="I155" s="48">
        <v>125000</v>
      </c>
      <c r="J155" s="48"/>
      <c r="K155" s="33"/>
      <c r="L155" s="17">
        <f t="shared" si="15"/>
        <v>125000</v>
      </c>
      <c r="M155" s="48"/>
      <c r="N155" s="48"/>
      <c r="O155" s="48">
        <v>125000</v>
      </c>
      <c r="P155" s="48"/>
      <c r="Q155" s="33"/>
      <c r="R155" s="79"/>
      <c r="S155" s="79"/>
      <c r="T155" s="79"/>
      <c r="U155" s="226">
        <v>70278.86</v>
      </c>
      <c r="W155" s="43">
        <f t="shared" si="8"/>
        <v>56.223088</v>
      </c>
      <c r="X155" s="43" t="e">
        <f t="shared" si="9"/>
        <v>#DIV/0!</v>
      </c>
    </row>
    <row r="156" spans="1:24" s="3" customFormat="1" ht="24.75" customHeight="1" hidden="1">
      <c r="A156" s="176"/>
      <c r="B156" s="201"/>
      <c r="C156" s="177" t="s">
        <v>271</v>
      </c>
      <c r="D156" s="108">
        <v>425220</v>
      </c>
      <c r="E156" s="165" t="s">
        <v>272</v>
      </c>
      <c r="F156" s="18">
        <f t="shared" si="14"/>
        <v>441000</v>
      </c>
      <c r="G156" s="47"/>
      <c r="H156" s="47"/>
      <c r="I156" s="47">
        <f>+I157+I158+I159+I160+I161+I162</f>
        <v>355000</v>
      </c>
      <c r="J156" s="47"/>
      <c r="K156" s="47">
        <f>+K157+K158+K159+K160+K161+K162</f>
        <v>86000</v>
      </c>
      <c r="L156" s="18">
        <f t="shared" si="15"/>
        <v>481000</v>
      </c>
      <c r="M156" s="47"/>
      <c r="N156" s="47"/>
      <c r="O156" s="47">
        <f>+O157+O158+O159+O160+O161+O162</f>
        <v>390000</v>
      </c>
      <c r="P156" s="47"/>
      <c r="Q156" s="47">
        <f>+Q157+Q158+Q159+Q160+Q161+Q162</f>
        <v>91000</v>
      </c>
      <c r="R156" s="80"/>
      <c r="S156" s="80"/>
      <c r="T156" s="80"/>
      <c r="U156" s="226"/>
      <c r="W156" s="43">
        <f t="shared" si="8"/>
        <v>0</v>
      </c>
      <c r="X156" s="43">
        <f t="shared" si="9"/>
        <v>0</v>
      </c>
    </row>
    <row r="157" spans="1:24" s="3" customFormat="1" ht="19.5" customHeight="1" hidden="1">
      <c r="A157" s="150"/>
      <c r="B157" s="202"/>
      <c r="C157" s="168" t="s">
        <v>273</v>
      </c>
      <c r="D157" s="105">
        <v>425221</v>
      </c>
      <c r="E157" s="106" t="s">
        <v>274</v>
      </c>
      <c r="F157" s="17">
        <f t="shared" si="14"/>
        <v>50000</v>
      </c>
      <c r="G157" s="47"/>
      <c r="H157" s="47"/>
      <c r="I157" s="33">
        <f>150000-100000</f>
        <v>50000</v>
      </c>
      <c r="J157" s="33"/>
      <c r="K157" s="33"/>
      <c r="L157" s="17">
        <f t="shared" si="15"/>
        <v>50000</v>
      </c>
      <c r="M157" s="47"/>
      <c r="N157" s="47"/>
      <c r="O157" s="33">
        <f>150000-100000</f>
        <v>50000</v>
      </c>
      <c r="P157" s="33"/>
      <c r="Q157" s="33"/>
      <c r="R157" s="79"/>
      <c r="S157" s="79"/>
      <c r="T157" s="79"/>
      <c r="U157" s="226"/>
      <c r="W157" s="43">
        <f t="shared" si="8"/>
        <v>0</v>
      </c>
      <c r="X157" s="43" t="e">
        <f t="shared" si="9"/>
        <v>#DIV/0!</v>
      </c>
    </row>
    <row r="158" spans="1:24" s="3" customFormat="1" ht="19.5" customHeight="1" hidden="1">
      <c r="A158" s="150"/>
      <c r="B158" s="200"/>
      <c r="C158" s="292" t="s">
        <v>275</v>
      </c>
      <c r="D158" s="231">
        <v>425222</v>
      </c>
      <c r="E158" s="233" t="s">
        <v>276</v>
      </c>
      <c r="F158" s="236">
        <f t="shared" si="14"/>
        <v>65000</v>
      </c>
      <c r="G158" s="311"/>
      <c r="H158" s="311"/>
      <c r="I158" s="291">
        <v>65000</v>
      </c>
      <c r="J158" s="291"/>
      <c r="K158" s="291"/>
      <c r="L158" s="236">
        <f t="shared" si="15"/>
        <v>75000</v>
      </c>
      <c r="M158" s="311"/>
      <c r="N158" s="311"/>
      <c r="O158" s="291">
        <v>70000</v>
      </c>
      <c r="P158" s="291"/>
      <c r="Q158" s="291">
        <v>5000</v>
      </c>
      <c r="R158" s="79"/>
      <c r="S158" s="79"/>
      <c r="T158" s="79"/>
      <c r="U158" s="226">
        <v>47990</v>
      </c>
      <c r="V158" s="3">
        <v>4320</v>
      </c>
      <c r="W158" s="43">
        <f t="shared" si="8"/>
        <v>73.83076923076923</v>
      </c>
      <c r="X158" s="43" t="e">
        <f t="shared" si="9"/>
        <v>#DIV/0!</v>
      </c>
    </row>
    <row r="159" spans="1:24" s="3" customFormat="1" ht="19.5" customHeight="1" hidden="1">
      <c r="A159" s="150"/>
      <c r="B159" s="200"/>
      <c r="C159" s="168" t="s">
        <v>277</v>
      </c>
      <c r="D159" s="105">
        <v>425223</v>
      </c>
      <c r="E159" s="106" t="s">
        <v>278</v>
      </c>
      <c r="F159" s="17">
        <f t="shared" si="14"/>
        <v>20000</v>
      </c>
      <c r="G159" s="47"/>
      <c r="H159" s="47"/>
      <c r="I159" s="33">
        <v>20000</v>
      </c>
      <c r="J159" s="33"/>
      <c r="K159" s="33"/>
      <c r="L159" s="17">
        <f t="shared" si="15"/>
        <v>20000</v>
      </c>
      <c r="M159" s="47"/>
      <c r="N159" s="47"/>
      <c r="O159" s="33">
        <v>20000</v>
      </c>
      <c r="P159" s="33"/>
      <c r="Q159" s="33"/>
      <c r="R159" s="79"/>
      <c r="S159" s="79"/>
      <c r="T159" s="79"/>
      <c r="U159" s="226">
        <v>2250</v>
      </c>
      <c r="W159" s="43">
        <f t="shared" si="8"/>
        <v>11.25</v>
      </c>
      <c r="X159" s="43" t="e">
        <f t="shared" si="9"/>
        <v>#DIV/0!</v>
      </c>
    </row>
    <row r="160" spans="1:24" s="3" customFormat="1" ht="19.5" customHeight="1" hidden="1">
      <c r="A160" s="150"/>
      <c r="B160" s="200"/>
      <c r="C160" s="168" t="s">
        <v>279</v>
      </c>
      <c r="D160" s="105">
        <v>425224</v>
      </c>
      <c r="E160" s="106" t="s">
        <v>280</v>
      </c>
      <c r="F160" s="17">
        <f t="shared" si="14"/>
        <v>106000</v>
      </c>
      <c r="G160" s="47"/>
      <c r="H160" s="47"/>
      <c r="I160" s="33">
        <v>50000</v>
      </c>
      <c r="J160" s="33"/>
      <c r="K160" s="33">
        <v>56000</v>
      </c>
      <c r="L160" s="17">
        <f t="shared" si="15"/>
        <v>106000</v>
      </c>
      <c r="M160" s="47"/>
      <c r="N160" s="47"/>
      <c r="O160" s="33">
        <v>50000</v>
      </c>
      <c r="P160" s="33"/>
      <c r="Q160" s="33">
        <v>56000</v>
      </c>
      <c r="R160" s="79"/>
      <c r="S160" s="79"/>
      <c r="T160" s="79"/>
      <c r="U160" s="226">
        <v>12469.31</v>
      </c>
      <c r="V160" s="3">
        <v>4400</v>
      </c>
      <c r="W160" s="43">
        <f t="shared" si="8"/>
        <v>24.93862</v>
      </c>
      <c r="X160" s="43">
        <f t="shared" si="9"/>
        <v>7.857142857142857</v>
      </c>
    </row>
    <row r="161" spans="1:24" s="3" customFormat="1" ht="28.5" customHeight="1" hidden="1">
      <c r="A161" s="150"/>
      <c r="B161" s="200"/>
      <c r="C161" s="278" t="s">
        <v>281</v>
      </c>
      <c r="D161" s="248">
        <v>425225</v>
      </c>
      <c r="E161" s="249" t="s">
        <v>282</v>
      </c>
      <c r="F161" s="250">
        <f t="shared" si="14"/>
        <v>90000</v>
      </c>
      <c r="G161" s="280"/>
      <c r="H161" s="280"/>
      <c r="I161" s="251">
        <v>90000</v>
      </c>
      <c r="J161" s="251"/>
      <c r="K161" s="251"/>
      <c r="L161" s="250">
        <f t="shared" si="15"/>
        <v>120000</v>
      </c>
      <c r="M161" s="280"/>
      <c r="N161" s="280"/>
      <c r="O161" s="251">
        <v>120000</v>
      </c>
      <c r="P161" s="251"/>
      <c r="Q161" s="251"/>
      <c r="R161" s="79"/>
      <c r="S161" s="79"/>
      <c r="T161" s="79"/>
      <c r="U161" s="226">
        <v>98988</v>
      </c>
      <c r="W161" s="225">
        <f t="shared" si="8"/>
        <v>109.98666666666668</v>
      </c>
      <c r="X161" s="43" t="e">
        <f t="shared" si="9"/>
        <v>#DIV/0!</v>
      </c>
    </row>
    <row r="162" spans="1:24" s="3" customFormat="1" ht="19.5" customHeight="1" hidden="1">
      <c r="A162" s="150"/>
      <c r="B162" s="200"/>
      <c r="C162" s="168" t="s">
        <v>283</v>
      </c>
      <c r="D162" s="105">
        <v>425227</v>
      </c>
      <c r="E162" s="106" t="s">
        <v>284</v>
      </c>
      <c r="F162" s="17">
        <f t="shared" si="14"/>
        <v>110000</v>
      </c>
      <c r="G162" s="47"/>
      <c r="H162" s="47"/>
      <c r="I162" s="33">
        <v>80000</v>
      </c>
      <c r="J162" s="33"/>
      <c r="K162" s="33">
        <v>30000</v>
      </c>
      <c r="L162" s="17">
        <f t="shared" si="15"/>
        <v>110000</v>
      </c>
      <c r="M162" s="47"/>
      <c r="N162" s="47"/>
      <c r="O162" s="33">
        <v>80000</v>
      </c>
      <c r="P162" s="33"/>
      <c r="Q162" s="33">
        <v>30000</v>
      </c>
      <c r="R162" s="79"/>
      <c r="S162" s="79"/>
      <c r="T162" s="79"/>
      <c r="U162" s="226">
        <v>18300</v>
      </c>
      <c r="V162" s="3">
        <v>12205.84</v>
      </c>
      <c r="W162" s="43">
        <f t="shared" si="8"/>
        <v>22.875</v>
      </c>
      <c r="X162" s="43">
        <f t="shared" si="9"/>
        <v>40.68613333333334</v>
      </c>
    </row>
    <row r="163" spans="1:24" s="3" customFormat="1" ht="24" customHeight="1" hidden="1">
      <c r="A163" s="176"/>
      <c r="B163" s="199"/>
      <c r="C163" s="177" t="s">
        <v>285</v>
      </c>
      <c r="D163" s="107">
        <v>425250</v>
      </c>
      <c r="E163" s="165" t="s">
        <v>286</v>
      </c>
      <c r="F163" s="18">
        <f t="shared" si="14"/>
        <v>1809000</v>
      </c>
      <c r="G163" s="47"/>
      <c r="H163" s="47"/>
      <c r="I163" s="47">
        <f>+I164+I165+I166+I167+I168</f>
        <v>1809000</v>
      </c>
      <c r="J163" s="47"/>
      <c r="K163" s="47"/>
      <c r="L163" s="18">
        <f t="shared" si="15"/>
        <v>4283000</v>
      </c>
      <c r="M163" s="47"/>
      <c r="N163" s="47"/>
      <c r="O163" s="47">
        <f>+O164+O165+O166+O167+O168</f>
        <v>4283000</v>
      </c>
      <c r="P163" s="47"/>
      <c r="Q163" s="47"/>
      <c r="R163" s="80"/>
      <c r="S163" s="80"/>
      <c r="T163" s="80"/>
      <c r="U163" s="226"/>
      <c r="W163" s="43">
        <f t="shared" si="8"/>
        <v>0</v>
      </c>
      <c r="X163" s="43" t="e">
        <f t="shared" si="9"/>
        <v>#DIV/0!</v>
      </c>
    </row>
    <row r="164" spans="1:24" s="3" customFormat="1" ht="25.5" customHeight="1" hidden="1">
      <c r="A164" s="150"/>
      <c r="B164" s="202"/>
      <c r="C164" s="168" t="s">
        <v>287</v>
      </c>
      <c r="D164" s="105">
        <v>425251</v>
      </c>
      <c r="E164" s="106" t="s">
        <v>286</v>
      </c>
      <c r="F164" s="17">
        <f t="shared" si="14"/>
        <v>700000</v>
      </c>
      <c r="G164" s="47"/>
      <c r="H164" s="33"/>
      <c r="I164" s="33">
        <f>900000-200000</f>
        <v>700000</v>
      </c>
      <c r="J164" s="33"/>
      <c r="K164" s="47"/>
      <c r="L164" s="17">
        <f t="shared" si="15"/>
        <v>700000</v>
      </c>
      <c r="M164" s="47"/>
      <c r="N164" s="33"/>
      <c r="O164" s="33">
        <f>900000-200000</f>
        <v>700000</v>
      </c>
      <c r="P164" s="33"/>
      <c r="Q164" s="47"/>
      <c r="R164" s="80"/>
      <c r="S164" s="80"/>
      <c r="T164" s="80"/>
      <c r="U164" s="226">
        <v>268771.2</v>
      </c>
      <c r="W164" s="43">
        <f t="shared" si="8"/>
        <v>38.39588571428572</v>
      </c>
      <c r="X164" s="43" t="e">
        <f t="shared" si="9"/>
        <v>#DIV/0!</v>
      </c>
    </row>
    <row r="165" spans="1:24" s="3" customFormat="1" ht="27" customHeight="1" hidden="1">
      <c r="A165" s="150"/>
      <c r="B165" s="188"/>
      <c r="C165" s="278" t="s">
        <v>288</v>
      </c>
      <c r="D165" s="248">
        <v>42525104</v>
      </c>
      <c r="E165" s="249" t="s">
        <v>289</v>
      </c>
      <c r="F165" s="250">
        <f t="shared" si="14"/>
        <v>1000000</v>
      </c>
      <c r="G165" s="251"/>
      <c r="H165" s="251"/>
      <c r="I165" s="251">
        <f>1400000-400000</f>
        <v>1000000</v>
      </c>
      <c r="J165" s="251"/>
      <c r="K165" s="251"/>
      <c r="L165" s="250">
        <f t="shared" si="15"/>
        <v>3400000</v>
      </c>
      <c r="M165" s="251"/>
      <c r="N165" s="251"/>
      <c r="O165" s="251">
        <v>3400000</v>
      </c>
      <c r="P165" s="251"/>
      <c r="Q165" s="251"/>
      <c r="R165" s="79"/>
      <c r="S165" s="79"/>
      <c r="T165" s="79"/>
      <c r="U165" s="226">
        <v>2513516</v>
      </c>
      <c r="W165" s="225">
        <f t="shared" si="8"/>
        <v>251.35160000000002</v>
      </c>
      <c r="X165" s="43" t="e">
        <f t="shared" si="9"/>
        <v>#DIV/0!</v>
      </c>
    </row>
    <row r="166" spans="1:24" s="3" customFormat="1" ht="39" customHeight="1" hidden="1">
      <c r="A166" s="150"/>
      <c r="B166" s="200"/>
      <c r="C166" s="292" t="s">
        <v>290</v>
      </c>
      <c r="D166" s="231">
        <v>425252</v>
      </c>
      <c r="E166" s="313" t="s">
        <v>291</v>
      </c>
      <c r="F166" s="236">
        <f t="shared" si="14"/>
        <v>50000</v>
      </c>
      <c r="G166" s="291"/>
      <c r="H166" s="291"/>
      <c r="I166" s="291">
        <v>50000</v>
      </c>
      <c r="J166" s="291"/>
      <c r="K166" s="291"/>
      <c r="L166" s="236">
        <f t="shared" si="15"/>
        <v>63000</v>
      </c>
      <c r="M166" s="291"/>
      <c r="N166" s="291"/>
      <c r="O166" s="291">
        <v>63000</v>
      </c>
      <c r="P166" s="291"/>
      <c r="Q166" s="291"/>
      <c r="R166" s="79"/>
      <c r="S166" s="79"/>
      <c r="T166" s="79"/>
      <c r="U166" s="226">
        <v>3600</v>
      </c>
      <c r="W166" s="43">
        <f t="shared" si="8"/>
        <v>7.199999999999999</v>
      </c>
      <c r="X166" s="43" t="e">
        <f t="shared" si="9"/>
        <v>#DIV/0!</v>
      </c>
    </row>
    <row r="167" spans="1:24" s="3" customFormat="1" ht="33.75" customHeight="1" hidden="1">
      <c r="A167" s="150"/>
      <c r="B167" s="203"/>
      <c r="C167" s="292" t="s">
        <v>292</v>
      </c>
      <c r="D167" s="231">
        <v>425253</v>
      </c>
      <c r="E167" s="314" t="s">
        <v>293</v>
      </c>
      <c r="F167" s="236">
        <f t="shared" si="14"/>
        <v>55000</v>
      </c>
      <c r="G167" s="291"/>
      <c r="H167" s="291"/>
      <c r="I167" s="291">
        <v>55000</v>
      </c>
      <c r="J167" s="291"/>
      <c r="K167" s="291"/>
      <c r="L167" s="236">
        <f t="shared" si="15"/>
        <v>116000</v>
      </c>
      <c r="M167" s="291"/>
      <c r="N167" s="291"/>
      <c r="O167" s="291">
        <v>116000</v>
      </c>
      <c r="P167" s="291"/>
      <c r="Q167" s="291"/>
      <c r="R167" s="79"/>
      <c r="S167" s="79"/>
      <c r="T167" s="79"/>
      <c r="U167" s="226">
        <v>51360</v>
      </c>
      <c r="W167" s="225">
        <f t="shared" si="8"/>
        <v>93.38181818181818</v>
      </c>
      <c r="X167" s="43" t="e">
        <f t="shared" si="9"/>
        <v>#DIV/0!</v>
      </c>
    </row>
    <row r="168" spans="1:24" s="3" customFormat="1" ht="24" customHeight="1" hidden="1">
      <c r="A168" s="150"/>
      <c r="B168" s="203"/>
      <c r="C168" s="168" t="s">
        <v>294</v>
      </c>
      <c r="D168" s="105">
        <v>425281</v>
      </c>
      <c r="E168" s="192" t="s">
        <v>295</v>
      </c>
      <c r="F168" s="17">
        <f t="shared" si="14"/>
        <v>4000</v>
      </c>
      <c r="G168" s="33"/>
      <c r="H168" s="33"/>
      <c r="I168" s="33">
        <v>4000</v>
      </c>
      <c r="J168" s="33"/>
      <c r="K168" s="33"/>
      <c r="L168" s="17">
        <f t="shared" si="15"/>
        <v>4000</v>
      </c>
      <c r="M168" s="33"/>
      <c r="N168" s="33"/>
      <c r="O168" s="33">
        <v>4000</v>
      </c>
      <c r="P168" s="33"/>
      <c r="Q168" s="33"/>
      <c r="R168" s="79"/>
      <c r="S168" s="79"/>
      <c r="T168" s="79"/>
      <c r="U168" s="226"/>
      <c r="W168" s="43">
        <f t="shared" si="8"/>
        <v>0</v>
      </c>
      <c r="X168" s="43" t="e">
        <f t="shared" si="9"/>
        <v>#DIV/0!</v>
      </c>
    </row>
    <row r="169" spans="1:24" s="3" customFormat="1" ht="24" customHeight="1">
      <c r="A169" s="134">
        <v>6</v>
      </c>
      <c r="B169" s="107">
        <v>426000</v>
      </c>
      <c r="C169" s="105"/>
      <c r="D169" s="361" t="s">
        <v>105</v>
      </c>
      <c r="E169" s="361"/>
      <c r="F169" s="18">
        <f t="shared" si="14"/>
        <v>68560558.39</v>
      </c>
      <c r="G169" s="34"/>
      <c r="H169" s="34">
        <f>+H170+H177+H178+H186+H198+H204</f>
        <v>1000000</v>
      </c>
      <c r="I169" s="18">
        <f>+I170+I176+I178+I186+I198+I204+I184</f>
        <v>66180558.39</v>
      </c>
      <c r="J169" s="18"/>
      <c r="K169" s="18">
        <f>+K170+K177+K178+K186+K198+K204+K184</f>
        <v>1380000</v>
      </c>
      <c r="L169" s="18">
        <f t="shared" si="15"/>
        <v>74773451.39</v>
      </c>
      <c r="M169" s="34"/>
      <c r="N169" s="34">
        <f>+N170+N177+N178+N186+N198+N204</f>
        <v>1000000</v>
      </c>
      <c r="O169" s="18">
        <f>+O170+O176+O178+O186+O198+O204+O184</f>
        <v>72140190.39</v>
      </c>
      <c r="P169" s="18"/>
      <c r="Q169" s="18">
        <f>+Q170+Q177+Q178+Q186+Q198+Q204+Q184</f>
        <v>1633261</v>
      </c>
      <c r="R169" s="61"/>
      <c r="S169" s="61"/>
      <c r="T169" s="61"/>
      <c r="U169" s="226"/>
      <c r="W169" s="43">
        <f t="shared" si="8"/>
        <v>0</v>
      </c>
      <c r="X169" s="43">
        <f t="shared" si="9"/>
        <v>0</v>
      </c>
    </row>
    <row r="170" spans="1:24" s="3" customFormat="1" ht="24.75" customHeight="1">
      <c r="A170" s="126"/>
      <c r="B170" s="137"/>
      <c r="C170" s="177" t="s">
        <v>106</v>
      </c>
      <c r="D170" s="334">
        <v>426100</v>
      </c>
      <c r="E170" s="313" t="s">
        <v>434</v>
      </c>
      <c r="F170" s="324">
        <f t="shared" si="14"/>
        <v>2565000</v>
      </c>
      <c r="G170" s="311"/>
      <c r="H170" s="311">
        <f>+H171+H172+H173+H174</f>
        <v>1000000</v>
      </c>
      <c r="I170" s="311">
        <f>+I171+I172+I173</f>
        <v>1515000</v>
      </c>
      <c r="J170" s="311"/>
      <c r="K170" s="311">
        <f>+K171+K172+K173+K175</f>
        <v>50000</v>
      </c>
      <c r="L170" s="324">
        <f t="shared" si="15"/>
        <v>2605000</v>
      </c>
      <c r="M170" s="311"/>
      <c r="N170" s="311">
        <f>+N171+N172+N173+N174</f>
        <v>1000000</v>
      </c>
      <c r="O170" s="311">
        <f>+O171+O172+O173</f>
        <v>1555000</v>
      </c>
      <c r="P170" s="311"/>
      <c r="Q170" s="311">
        <f>+Q171+Q172+Q173+Q175</f>
        <v>50000</v>
      </c>
      <c r="R170" s="80"/>
      <c r="S170" s="80"/>
      <c r="T170" s="80"/>
      <c r="U170" s="226"/>
      <c r="W170" s="43">
        <f t="shared" si="8"/>
        <v>0</v>
      </c>
      <c r="X170" s="43">
        <f t="shared" si="9"/>
        <v>0</v>
      </c>
    </row>
    <row r="171" spans="1:24" s="3" customFormat="1" ht="19.5" customHeight="1" hidden="1">
      <c r="A171" s="150"/>
      <c r="B171" s="202"/>
      <c r="C171" s="168" t="s">
        <v>296</v>
      </c>
      <c r="D171" s="231">
        <v>426111</v>
      </c>
      <c r="E171" s="233" t="s">
        <v>297</v>
      </c>
      <c r="F171" s="236">
        <f t="shared" si="14"/>
        <v>560000</v>
      </c>
      <c r="G171" s="291"/>
      <c r="H171" s="291"/>
      <c r="I171" s="291">
        <f>550000+100000-90000</f>
        <v>560000</v>
      </c>
      <c r="J171" s="291"/>
      <c r="K171" s="291"/>
      <c r="L171" s="236">
        <f t="shared" si="15"/>
        <v>600000</v>
      </c>
      <c r="M171" s="291"/>
      <c r="N171" s="291"/>
      <c r="O171" s="291">
        <v>600000</v>
      </c>
      <c r="P171" s="291"/>
      <c r="Q171" s="291"/>
      <c r="R171" s="79"/>
      <c r="S171" s="79"/>
      <c r="T171" s="79"/>
      <c r="U171" s="226">
        <v>521181</v>
      </c>
      <c r="W171" s="43">
        <f t="shared" si="8"/>
        <v>93.06803571428571</v>
      </c>
      <c r="X171" s="43" t="e">
        <f t="shared" si="9"/>
        <v>#DIV/0!</v>
      </c>
    </row>
    <row r="172" spans="1:24" s="3" customFormat="1" ht="19.5" customHeight="1" hidden="1">
      <c r="A172" s="150"/>
      <c r="B172" s="200"/>
      <c r="C172" s="168" t="s">
        <v>298</v>
      </c>
      <c r="D172" s="105">
        <v>4261111</v>
      </c>
      <c r="E172" s="106" t="s">
        <v>299</v>
      </c>
      <c r="F172" s="17">
        <f t="shared" si="14"/>
        <v>605000</v>
      </c>
      <c r="G172" s="33"/>
      <c r="H172" s="33"/>
      <c r="I172" s="33">
        <f>550000+15000+100000-80000</f>
        <v>585000</v>
      </c>
      <c r="J172" s="33"/>
      <c r="K172" s="33">
        <v>20000</v>
      </c>
      <c r="L172" s="17">
        <f t="shared" si="15"/>
        <v>605000</v>
      </c>
      <c r="M172" s="33"/>
      <c r="N172" s="33"/>
      <c r="O172" s="33">
        <f>550000+15000+100000-80000</f>
        <v>585000</v>
      </c>
      <c r="P172" s="33"/>
      <c r="Q172" s="33">
        <v>20000</v>
      </c>
      <c r="R172" s="79"/>
      <c r="S172" s="79"/>
      <c r="T172" s="79"/>
      <c r="U172" s="226">
        <v>538308.6</v>
      </c>
      <c r="W172" s="43">
        <f t="shared" si="8"/>
        <v>92.0185641025641</v>
      </c>
      <c r="X172" s="43">
        <f t="shared" si="9"/>
        <v>0</v>
      </c>
    </row>
    <row r="173" spans="1:24" s="3" customFormat="1" ht="26.25" customHeight="1" hidden="1">
      <c r="A173" s="150"/>
      <c r="B173" s="200"/>
      <c r="C173" s="168" t="s">
        <v>300</v>
      </c>
      <c r="D173" s="105">
        <v>4261112</v>
      </c>
      <c r="E173" s="106" t="s">
        <v>301</v>
      </c>
      <c r="F173" s="17">
        <f t="shared" si="14"/>
        <v>370000</v>
      </c>
      <c r="G173" s="33"/>
      <c r="H173" s="33"/>
      <c r="I173" s="33">
        <v>370000</v>
      </c>
      <c r="J173" s="33"/>
      <c r="K173" s="33"/>
      <c r="L173" s="17">
        <f t="shared" si="15"/>
        <v>370000</v>
      </c>
      <c r="M173" s="33"/>
      <c r="N173" s="33"/>
      <c r="O173" s="33">
        <v>370000</v>
      </c>
      <c r="P173" s="33"/>
      <c r="Q173" s="33"/>
      <c r="R173" s="79"/>
      <c r="S173" s="79"/>
      <c r="T173" s="79"/>
      <c r="U173" s="226">
        <v>207367.6</v>
      </c>
      <c r="W173" s="43">
        <f t="shared" si="8"/>
        <v>56.0452972972973</v>
      </c>
      <c r="X173" s="43" t="e">
        <f t="shared" si="9"/>
        <v>#DIV/0!</v>
      </c>
    </row>
    <row r="174" spans="1:24" s="3" customFormat="1" ht="19.5" customHeight="1" hidden="1">
      <c r="A174" s="150"/>
      <c r="B174" s="200"/>
      <c r="C174" s="168" t="s">
        <v>302</v>
      </c>
      <c r="D174" s="105">
        <v>426123</v>
      </c>
      <c r="E174" s="106" t="s">
        <v>303</v>
      </c>
      <c r="F174" s="17">
        <f t="shared" si="14"/>
        <v>1000000</v>
      </c>
      <c r="G174" s="33"/>
      <c r="H174" s="33">
        <v>1000000</v>
      </c>
      <c r="I174" s="33"/>
      <c r="J174" s="33"/>
      <c r="K174" s="33"/>
      <c r="L174" s="17">
        <f t="shared" si="15"/>
        <v>1000000</v>
      </c>
      <c r="M174" s="33"/>
      <c r="N174" s="33">
        <v>1000000</v>
      </c>
      <c r="O174" s="33"/>
      <c r="P174" s="33"/>
      <c r="Q174" s="33"/>
      <c r="R174" s="79"/>
      <c r="S174" s="79"/>
      <c r="T174" s="79"/>
      <c r="U174" s="226"/>
      <c r="W174" s="43" t="e">
        <f aca="true" t="shared" si="16" ref="W174:W237">+U174/I174*100</f>
        <v>#DIV/0!</v>
      </c>
      <c r="X174" s="43" t="e">
        <f aca="true" t="shared" si="17" ref="X174:X237">+V174/K174*100</f>
        <v>#DIV/0!</v>
      </c>
    </row>
    <row r="175" spans="1:24" s="3" customFormat="1" ht="19.5" customHeight="1" hidden="1">
      <c r="A175" s="150"/>
      <c r="B175" s="200"/>
      <c r="C175" s="168" t="s">
        <v>304</v>
      </c>
      <c r="D175" s="105">
        <v>426131</v>
      </c>
      <c r="E175" s="106" t="s">
        <v>305</v>
      </c>
      <c r="F175" s="17">
        <f t="shared" si="14"/>
        <v>30000</v>
      </c>
      <c r="G175" s="33"/>
      <c r="H175" s="33"/>
      <c r="I175" s="47"/>
      <c r="J175" s="47"/>
      <c r="K175" s="33">
        <v>30000</v>
      </c>
      <c r="L175" s="17">
        <f t="shared" si="15"/>
        <v>30000</v>
      </c>
      <c r="M175" s="33"/>
      <c r="N175" s="33"/>
      <c r="O175" s="47"/>
      <c r="P175" s="47"/>
      <c r="Q175" s="33">
        <v>30000</v>
      </c>
      <c r="R175" s="79"/>
      <c r="S175" s="79"/>
      <c r="T175" s="79"/>
      <c r="U175" s="226"/>
      <c r="V175" s="3">
        <v>14200</v>
      </c>
      <c r="W175" s="43" t="e">
        <f t="shared" si="16"/>
        <v>#DIV/0!</v>
      </c>
      <c r="X175" s="43">
        <f t="shared" si="17"/>
        <v>47.333333333333336</v>
      </c>
    </row>
    <row r="176" spans="1:24" s="3" customFormat="1" ht="24.75" customHeight="1">
      <c r="A176" s="150"/>
      <c r="B176" s="177"/>
      <c r="C176" s="177" t="s">
        <v>107</v>
      </c>
      <c r="D176" s="334">
        <v>426300</v>
      </c>
      <c r="E176" s="313" t="s">
        <v>108</v>
      </c>
      <c r="F176" s="324">
        <f t="shared" si="14"/>
        <v>250000</v>
      </c>
      <c r="G176" s="311"/>
      <c r="H176" s="311"/>
      <c r="I176" s="311">
        <f>+I177</f>
        <v>70000</v>
      </c>
      <c r="J176" s="311"/>
      <c r="K176" s="311">
        <f>+K177</f>
        <v>180000</v>
      </c>
      <c r="L176" s="324">
        <f t="shared" si="15"/>
        <v>321000</v>
      </c>
      <c r="M176" s="311"/>
      <c r="N176" s="311"/>
      <c r="O176" s="311">
        <f>+O177</f>
        <v>70000</v>
      </c>
      <c r="P176" s="311"/>
      <c r="Q176" s="311">
        <f>+Q177</f>
        <v>251000</v>
      </c>
      <c r="R176" s="80"/>
      <c r="S176" s="80"/>
      <c r="T176" s="80"/>
      <c r="U176" s="226"/>
      <c r="W176" s="43">
        <f t="shared" si="16"/>
        <v>0</v>
      </c>
      <c r="X176" s="43">
        <f t="shared" si="17"/>
        <v>0</v>
      </c>
    </row>
    <row r="177" spans="1:24" s="3" customFormat="1" ht="24.75" customHeight="1" hidden="1">
      <c r="A177" s="176"/>
      <c r="B177" s="155"/>
      <c r="C177" s="179" t="s">
        <v>306</v>
      </c>
      <c r="D177" s="231">
        <v>426311</v>
      </c>
      <c r="E177" s="233" t="s">
        <v>307</v>
      </c>
      <c r="F177" s="236">
        <f t="shared" si="14"/>
        <v>250000</v>
      </c>
      <c r="G177" s="291"/>
      <c r="H177" s="291"/>
      <c r="I177" s="291">
        <v>70000</v>
      </c>
      <c r="J177" s="291"/>
      <c r="K177" s="291">
        <v>180000</v>
      </c>
      <c r="L177" s="236">
        <f t="shared" si="15"/>
        <v>321000</v>
      </c>
      <c r="M177" s="291"/>
      <c r="N177" s="291"/>
      <c r="O177" s="291">
        <v>70000</v>
      </c>
      <c r="P177" s="291"/>
      <c r="Q177" s="291">
        <v>251000</v>
      </c>
      <c r="R177" s="79"/>
      <c r="S177" s="79"/>
      <c r="T177" s="79"/>
      <c r="U177" s="226"/>
      <c r="V177" s="3">
        <v>250255</v>
      </c>
      <c r="W177" s="43">
        <f t="shared" si="16"/>
        <v>0</v>
      </c>
      <c r="X177" s="225">
        <f t="shared" si="17"/>
        <v>139.03055555555554</v>
      </c>
    </row>
    <row r="178" spans="1:103" s="3" customFormat="1" ht="24.75" customHeight="1">
      <c r="A178" s="176"/>
      <c r="B178" s="204"/>
      <c r="C178" s="177" t="s">
        <v>109</v>
      </c>
      <c r="D178" s="334">
        <v>426400</v>
      </c>
      <c r="E178" s="313" t="s">
        <v>435</v>
      </c>
      <c r="F178" s="324">
        <f t="shared" si="14"/>
        <v>11217000</v>
      </c>
      <c r="G178" s="311"/>
      <c r="H178" s="311"/>
      <c r="I178" s="311">
        <f>+I179+I180+I181+I182+I183</f>
        <v>11217000</v>
      </c>
      <c r="J178" s="311"/>
      <c r="K178" s="311"/>
      <c r="L178" s="324">
        <f t="shared" si="15"/>
        <v>12434788</v>
      </c>
      <c r="M178" s="311"/>
      <c r="N178" s="311"/>
      <c r="O178" s="311">
        <f>+O179+O180+O181+O182+O183</f>
        <v>12434788</v>
      </c>
      <c r="P178" s="311"/>
      <c r="Q178" s="311"/>
      <c r="R178" s="80"/>
      <c r="S178" s="80"/>
      <c r="T178" s="80"/>
      <c r="U178" s="226"/>
      <c r="W178" s="43">
        <f t="shared" si="16"/>
        <v>0</v>
      </c>
      <c r="X178" s="43" t="e">
        <f t="shared" si="17"/>
        <v>#DIV/0!</v>
      </c>
      <c r="CX178" s="3">
        <v>1156000</v>
      </c>
      <c r="CY178" s="3">
        <f>+CX178/117</f>
        <v>9880.34188034188</v>
      </c>
    </row>
    <row r="179" spans="1:103" s="3" customFormat="1" ht="19.5" customHeight="1" hidden="1">
      <c r="A179" s="176"/>
      <c r="B179" s="202"/>
      <c r="C179" s="179" t="s">
        <v>308</v>
      </c>
      <c r="D179" s="105">
        <v>4264111</v>
      </c>
      <c r="E179" s="106" t="s">
        <v>309</v>
      </c>
      <c r="F179" s="17">
        <f t="shared" si="14"/>
        <v>30000</v>
      </c>
      <c r="G179" s="33"/>
      <c r="H179" s="33"/>
      <c r="I179" s="33">
        <v>30000</v>
      </c>
      <c r="J179" s="33"/>
      <c r="K179" s="33"/>
      <c r="L179" s="17">
        <f t="shared" si="15"/>
        <v>30000</v>
      </c>
      <c r="M179" s="33"/>
      <c r="N179" s="33"/>
      <c r="O179" s="33">
        <v>30000</v>
      </c>
      <c r="P179" s="33"/>
      <c r="Q179" s="33"/>
      <c r="R179" s="79"/>
      <c r="S179" s="79"/>
      <c r="T179" s="79"/>
      <c r="U179" s="226">
        <v>8612.62</v>
      </c>
      <c r="W179" s="43">
        <f t="shared" si="16"/>
        <v>28.708733333333335</v>
      </c>
      <c r="X179" s="43" t="e">
        <f t="shared" si="17"/>
        <v>#DIV/0!</v>
      </c>
      <c r="CX179" s="3">
        <f>+CX178-1032691</f>
        <v>123309</v>
      </c>
      <c r="CY179" s="3">
        <v>18000</v>
      </c>
    </row>
    <row r="180" spans="1:24" s="3" customFormat="1" ht="19.5" customHeight="1" hidden="1">
      <c r="A180" s="176"/>
      <c r="B180" s="200"/>
      <c r="C180" s="179" t="s">
        <v>310</v>
      </c>
      <c r="D180" s="248">
        <v>426412</v>
      </c>
      <c r="E180" s="249" t="s">
        <v>311</v>
      </c>
      <c r="F180" s="250">
        <f t="shared" si="14"/>
        <v>10330000</v>
      </c>
      <c r="G180" s="251"/>
      <c r="H180" s="251"/>
      <c r="I180" s="251">
        <v>10330000</v>
      </c>
      <c r="J180" s="251"/>
      <c r="K180" s="251"/>
      <c r="L180" s="250">
        <f t="shared" si="15"/>
        <v>11514788</v>
      </c>
      <c r="M180" s="251"/>
      <c r="N180" s="251"/>
      <c r="O180" s="251">
        <f>10330000+1184788</f>
        <v>11514788</v>
      </c>
      <c r="P180" s="251"/>
      <c r="Q180" s="251"/>
      <c r="R180" s="79"/>
      <c r="S180" s="79"/>
      <c r="T180" s="79"/>
      <c r="U180" s="226">
        <v>8444319.72</v>
      </c>
      <c r="V180" s="3">
        <f>1500000+U180</f>
        <v>9944319.72</v>
      </c>
      <c r="W180" s="43">
        <f t="shared" si="16"/>
        <v>81.745592642788</v>
      </c>
      <c r="X180" s="43" t="e">
        <f t="shared" si="17"/>
        <v>#DIV/0!</v>
      </c>
    </row>
    <row r="181" spans="1:24" s="3" customFormat="1" ht="19.5" customHeight="1" hidden="1">
      <c r="A181" s="176"/>
      <c r="B181" s="200"/>
      <c r="C181" s="179" t="s">
        <v>312</v>
      </c>
      <c r="D181" s="231">
        <v>426413</v>
      </c>
      <c r="E181" s="233" t="s">
        <v>313</v>
      </c>
      <c r="F181" s="236">
        <f t="shared" si="14"/>
        <v>42000</v>
      </c>
      <c r="G181" s="291"/>
      <c r="H181" s="291"/>
      <c r="I181" s="291">
        <v>42000</v>
      </c>
      <c r="J181" s="291"/>
      <c r="K181" s="291"/>
      <c r="L181" s="236">
        <f t="shared" si="15"/>
        <v>75000</v>
      </c>
      <c r="M181" s="291"/>
      <c r="N181" s="291"/>
      <c r="O181" s="291">
        <v>75000</v>
      </c>
      <c r="P181" s="291"/>
      <c r="Q181" s="291"/>
      <c r="R181" s="79"/>
      <c r="S181" s="79"/>
      <c r="T181" s="79"/>
      <c r="U181" s="226">
        <v>24980</v>
      </c>
      <c r="W181" s="43">
        <f t="shared" si="16"/>
        <v>59.476190476190474</v>
      </c>
      <c r="X181" s="43" t="e">
        <f t="shared" si="17"/>
        <v>#DIV/0!</v>
      </c>
    </row>
    <row r="182" spans="1:24" s="3" customFormat="1" ht="19.5" customHeight="1" hidden="1">
      <c r="A182" s="176"/>
      <c r="B182" s="200"/>
      <c r="C182" s="179" t="s">
        <v>314</v>
      </c>
      <c r="D182" s="105">
        <v>4264911</v>
      </c>
      <c r="E182" s="106" t="s">
        <v>315</v>
      </c>
      <c r="F182" s="17">
        <f t="shared" si="14"/>
        <v>740000</v>
      </c>
      <c r="G182" s="33"/>
      <c r="H182" s="33"/>
      <c r="I182" s="33">
        <f>940000-200000</f>
        <v>740000</v>
      </c>
      <c r="J182" s="33"/>
      <c r="K182" s="33"/>
      <c r="L182" s="17">
        <f t="shared" si="15"/>
        <v>740000</v>
      </c>
      <c r="M182" s="33"/>
      <c r="N182" s="33"/>
      <c r="O182" s="33">
        <f>940000-200000</f>
        <v>740000</v>
      </c>
      <c r="P182" s="33"/>
      <c r="Q182" s="33"/>
      <c r="R182" s="79"/>
      <c r="S182" s="79"/>
      <c r="T182" s="79"/>
      <c r="U182" s="226">
        <v>694560</v>
      </c>
      <c r="W182" s="43">
        <f t="shared" si="16"/>
        <v>93.85945945945946</v>
      </c>
      <c r="X182" s="43" t="e">
        <f t="shared" si="17"/>
        <v>#DIV/0!</v>
      </c>
    </row>
    <row r="183" spans="1:24" s="3" customFormat="1" ht="19.5" customHeight="1" hidden="1">
      <c r="A183" s="176"/>
      <c r="B183" s="203"/>
      <c r="C183" s="179" t="s">
        <v>316</v>
      </c>
      <c r="D183" s="105">
        <v>4264912</v>
      </c>
      <c r="E183" s="106" t="s">
        <v>317</v>
      </c>
      <c r="F183" s="17">
        <f t="shared" si="14"/>
        <v>75000</v>
      </c>
      <c r="G183" s="33"/>
      <c r="H183" s="33"/>
      <c r="I183" s="33">
        <v>75000</v>
      </c>
      <c r="J183" s="33"/>
      <c r="K183" s="33"/>
      <c r="L183" s="17">
        <f t="shared" si="15"/>
        <v>75000</v>
      </c>
      <c r="M183" s="33"/>
      <c r="N183" s="33"/>
      <c r="O183" s="33">
        <v>75000</v>
      </c>
      <c r="P183" s="33"/>
      <c r="Q183" s="33"/>
      <c r="R183" s="79"/>
      <c r="S183" s="79"/>
      <c r="T183" s="79"/>
      <c r="U183" s="226"/>
      <c r="W183" s="43">
        <f t="shared" si="16"/>
        <v>0</v>
      </c>
      <c r="X183" s="43" t="e">
        <f t="shared" si="17"/>
        <v>#DIV/0!</v>
      </c>
    </row>
    <row r="184" spans="1:24" s="3" customFormat="1" ht="26.25" customHeight="1">
      <c r="A184" s="176"/>
      <c r="B184" s="203"/>
      <c r="C184" s="177" t="s">
        <v>110</v>
      </c>
      <c r="D184" s="334">
        <v>426500</v>
      </c>
      <c r="E184" s="313" t="s">
        <v>111</v>
      </c>
      <c r="F184" s="324">
        <f>+G184+H184+I184+K184</f>
        <v>170000</v>
      </c>
      <c r="G184" s="311"/>
      <c r="H184" s="311"/>
      <c r="I184" s="311">
        <f>+I185</f>
        <v>170000</v>
      </c>
      <c r="J184" s="311"/>
      <c r="K184" s="311"/>
      <c r="L184" s="324">
        <f>+M184+N184+O184+Q184</f>
        <v>217000</v>
      </c>
      <c r="M184" s="311"/>
      <c r="N184" s="311"/>
      <c r="O184" s="311">
        <f>+O185</f>
        <v>217000</v>
      </c>
      <c r="P184" s="311"/>
      <c r="Q184" s="311"/>
      <c r="R184" s="80"/>
      <c r="S184" s="80"/>
      <c r="T184" s="80"/>
      <c r="U184" s="226"/>
      <c r="W184" s="43">
        <f t="shared" si="16"/>
        <v>0</v>
      </c>
      <c r="X184" s="43" t="e">
        <f t="shared" si="17"/>
        <v>#DIV/0!</v>
      </c>
    </row>
    <row r="185" spans="1:24" s="3" customFormat="1" ht="29.25" customHeight="1" hidden="1">
      <c r="A185" s="176"/>
      <c r="B185" s="203"/>
      <c r="C185" s="177" t="s">
        <v>318</v>
      </c>
      <c r="D185" s="231">
        <v>426591</v>
      </c>
      <c r="E185" s="233" t="s">
        <v>319</v>
      </c>
      <c r="F185" s="236">
        <f>+G185+H185+I185+K185</f>
        <v>170000</v>
      </c>
      <c r="G185" s="291"/>
      <c r="H185" s="291"/>
      <c r="I185" s="291">
        <v>170000</v>
      </c>
      <c r="J185" s="291"/>
      <c r="K185" s="291"/>
      <c r="L185" s="236">
        <f>+M185+N185+O185+Q185</f>
        <v>217000</v>
      </c>
      <c r="M185" s="291"/>
      <c r="N185" s="291"/>
      <c r="O185" s="291">
        <v>217000</v>
      </c>
      <c r="P185" s="291"/>
      <c r="Q185" s="291"/>
      <c r="R185" s="79"/>
      <c r="S185" s="79"/>
      <c r="T185" s="79"/>
      <c r="U185" s="226">
        <v>170424</v>
      </c>
      <c r="W185" s="225">
        <f t="shared" si="16"/>
        <v>100.24941176470588</v>
      </c>
      <c r="X185" s="43" t="e">
        <f t="shared" si="17"/>
        <v>#DIV/0!</v>
      </c>
    </row>
    <row r="186" spans="1:24" s="3" customFormat="1" ht="26.25" customHeight="1">
      <c r="A186" s="176"/>
      <c r="B186" s="204"/>
      <c r="C186" s="177" t="s">
        <v>112</v>
      </c>
      <c r="D186" s="334">
        <v>426700</v>
      </c>
      <c r="E186" s="313" t="s">
        <v>436</v>
      </c>
      <c r="F186" s="324">
        <f>SUM(G186:K186)</f>
        <v>52530558</v>
      </c>
      <c r="G186" s="311"/>
      <c r="H186" s="311"/>
      <c r="I186" s="311">
        <f>+I187+I191+I192+I195</f>
        <v>51380558</v>
      </c>
      <c r="J186" s="311"/>
      <c r="K186" s="311">
        <f>+K187+K191+K192+K195</f>
        <v>1150000</v>
      </c>
      <c r="L186" s="324">
        <f>SUM(M186:Q186)</f>
        <v>56840663</v>
      </c>
      <c r="M186" s="311"/>
      <c r="N186" s="311"/>
      <c r="O186" s="311">
        <f>+O187+O191+O192+O195</f>
        <v>55508402</v>
      </c>
      <c r="P186" s="311"/>
      <c r="Q186" s="311">
        <f>+Q187+Q191+Q192+Q195</f>
        <v>1332261</v>
      </c>
      <c r="R186" s="80"/>
      <c r="S186" s="80"/>
      <c r="T186" s="80"/>
      <c r="U186" s="226"/>
      <c r="W186" s="43">
        <f t="shared" si="16"/>
        <v>0</v>
      </c>
      <c r="X186" s="43">
        <f t="shared" si="17"/>
        <v>0</v>
      </c>
    </row>
    <row r="187" spans="1:27" s="3" customFormat="1" ht="30" customHeight="1" hidden="1">
      <c r="A187" s="176"/>
      <c r="B187" s="127"/>
      <c r="C187" s="177" t="s">
        <v>320</v>
      </c>
      <c r="D187" s="107">
        <v>426710</v>
      </c>
      <c r="E187" s="106" t="s">
        <v>321</v>
      </c>
      <c r="F187" s="18">
        <f>+G187+H187+I187+K187</f>
        <v>5897000</v>
      </c>
      <c r="G187" s="47"/>
      <c r="H187" s="47"/>
      <c r="I187" s="47">
        <f>+I188+I190+I189</f>
        <v>5847000</v>
      </c>
      <c r="J187" s="47"/>
      <c r="K187" s="47">
        <f>+K188+K190+K189</f>
        <v>50000</v>
      </c>
      <c r="L187" s="18">
        <f>+M187+N187+O187+Q187</f>
        <v>6125461</v>
      </c>
      <c r="M187" s="47"/>
      <c r="N187" s="47"/>
      <c r="O187" s="47">
        <f>+O188+O190+O189</f>
        <v>6075461</v>
      </c>
      <c r="P187" s="47"/>
      <c r="Q187" s="47">
        <f>+Q188+Q190+Q189</f>
        <v>50000</v>
      </c>
      <c r="R187" s="80"/>
      <c r="S187" s="80"/>
      <c r="T187" s="80"/>
      <c r="U187" s="226"/>
      <c r="W187" s="43">
        <f t="shared" si="16"/>
        <v>0</v>
      </c>
      <c r="X187" s="43">
        <f t="shared" si="17"/>
        <v>0</v>
      </c>
      <c r="Y187" s="3">
        <v>1</v>
      </c>
      <c r="Z187" s="3" t="s">
        <v>449</v>
      </c>
      <c r="AA187" s="3">
        <v>5</v>
      </c>
    </row>
    <row r="188" spans="1:27" s="3" customFormat="1" ht="19.5" customHeight="1" hidden="1">
      <c r="A188" s="150"/>
      <c r="B188" s="202"/>
      <c r="C188" s="168" t="s">
        <v>322</v>
      </c>
      <c r="D188" s="248">
        <v>426711</v>
      </c>
      <c r="E188" s="249" t="s">
        <v>323</v>
      </c>
      <c r="F188" s="250">
        <f>+G188+H188+I188+K188</f>
        <v>5407000</v>
      </c>
      <c r="G188" s="251"/>
      <c r="H188" s="251"/>
      <c r="I188" s="251">
        <f>7250000-100000-1893000+100000</f>
        <v>5357000</v>
      </c>
      <c r="J188" s="251"/>
      <c r="K188" s="251">
        <v>50000</v>
      </c>
      <c r="L188" s="250">
        <f>+M188+N188+O188+Q188</f>
        <v>5745461</v>
      </c>
      <c r="M188" s="251"/>
      <c r="N188" s="251"/>
      <c r="O188" s="251">
        <f>7250000-100000-1893000+100000+150000+188461</f>
        <v>5695461</v>
      </c>
      <c r="P188" s="251"/>
      <c r="Q188" s="251">
        <v>50000</v>
      </c>
      <c r="R188" s="79"/>
      <c r="S188" s="79"/>
      <c r="T188" s="79"/>
      <c r="U188" s="226">
        <v>5576165.72</v>
      </c>
      <c r="V188" s="3">
        <v>28653.8</v>
      </c>
      <c r="W188" s="225">
        <f t="shared" si="16"/>
        <v>104.09120253873436</v>
      </c>
      <c r="X188" s="43">
        <f t="shared" si="17"/>
        <v>57.3076</v>
      </c>
      <c r="Y188" s="3">
        <v>2</v>
      </c>
      <c r="Z188" s="3" t="s">
        <v>450</v>
      </c>
      <c r="AA188" s="3">
        <v>5</v>
      </c>
    </row>
    <row r="189" spans="1:27" s="3" customFormat="1" ht="19.5" customHeight="1" hidden="1">
      <c r="A189" s="150"/>
      <c r="B189" s="200"/>
      <c r="C189" s="168" t="s">
        <v>324</v>
      </c>
      <c r="D189" s="248">
        <v>42671103</v>
      </c>
      <c r="E189" s="249" t="s">
        <v>325</v>
      </c>
      <c r="F189" s="250">
        <f>+G189+H189+I189+K189</f>
        <v>400000</v>
      </c>
      <c r="G189" s="251"/>
      <c r="H189" s="251"/>
      <c r="I189" s="251">
        <v>400000</v>
      </c>
      <c r="J189" s="251"/>
      <c r="K189" s="251"/>
      <c r="L189" s="250">
        <f>+M189+N189+O189+Q189</f>
        <v>250000</v>
      </c>
      <c r="M189" s="251"/>
      <c r="N189" s="251"/>
      <c r="O189" s="251">
        <f>400000-150000</f>
        <v>250000</v>
      </c>
      <c r="P189" s="251"/>
      <c r="Q189" s="251"/>
      <c r="R189" s="79"/>
      <c r="S189" s="79"/>
      <c r="T189" s="79"/>
      <c r="U189" s="226">
        <v>208510.8</v>
      </c>
      <c r="W189" s="43">
        <f t="shared" si="16"/>
        <v>52.1277</v>
      </c>
      <c r="X189" s="43" t="e">
        <f t="shared" si="17"/>
        <v>#DIV/0!</v>
      </c>
      <c r="Y189" s="3">
        <v>3</v>
      </c>
      <c r="Z189" s="3" t="s">
        <v>451</v>
      </c>
      <c r="AA189" s="3">
        <v>3</v>
      </c>
    </row>
    <row r="190" spans="1:27" s="3" customFormat="1" ht="19.5" customHeight="1" hidden="1">
      <c r="A190" s="150"/>
      <c r="B190" s="200"/>
      <c r="C190" s="168" t="s">
        <v>326</v>
      </c>
      <c r="D190" s="248">
        <v>42671105</v>
      </c>
      <c r="E190" s="249" t="s">
        <v>327</v>
      </c>
      <c r="F190" s="250">
        <f>+G190+H190+I190</f>
        <v>90000</v>
      </c>
      <c r="G190" s="251"/>
      <c r="H190" s="251"/>
      <c r="I190" s="251">
        <v>90000</v>
      </c>
      <c r="J190" s="251"/>
      <c r="K190" s="251"/>
      <c r="L190" s="250">
        <f>+M190+N190+O190</f>
        <v>130000</v>
      </c>
      <c r="M190" s="251"/>
      <c r="N190" s="251"/>
      <c r="O190" s="251">
        <v>130000</v>
      </c>
      <c r="P190" s="251"/>
      <c r="Q190" s="251"/>
      <c r="R190" s="79"/>
      <c r="S190" s="79"/>
      <c r="T190" s="79"/>
      <c r="U190" s="226">
        <v>115776.08</v>
      </c>
      <c r="W190" s="225">
        <f t="shared" si="16"/>
        <v>128.6400888888889</v>
      </c>
      <c r="X190" s="43" t="e">
        <f t="shared" si="17"/>
        <v>#DIV/0!</v>
      </c>
      <c r="Y190" s="3">
        <v>4</v>
      </c>
      <c r="Z190" s="3" t="s">
        <v>452</v>
      </c>
      <c r="AA190" s="3">
        <v>3</v>
      </c>
    </row>
    <row r="191" spans="1:27" s="3" customFormat="1" ht="25.5" customHeight="1" hidden="1">
      <c r="A191" s="176"/>
      <c r="B191" s="155"/>
      <c r="C191" s="177" t="s">
        <v>328</v>
      </c>
      <c r="D191" s="274">
        <v>426721</v>
      </c>
      <c r="E191" s="279" t="s">
        <v>329</v>
      </c>
      <c r="F191" s="254">
        <f>+G191+H191+I191+K191</f>
        <v>19700000</v>
      </c>
      <c r="G191" s="251"/>
      <c r="H191" s="251"/>
      <c r="I191" s="280">
        <v>19000000</v>
      </c>
      <c r="J191" s="280"/>
      <c r="K191" s="280">
        <v>700000</v>
      </c>
      <c r="L191" s="254">
        <f>+M191+N191+O191+Q191</f>
        <v>21000000</v>
      </c>
      <c r="M191" s="251"/>
      <c r="N191" s="251"/>
      <c r="O191" s="280">
        <v>20000000</v>
      </c>
      <c r="P191" s="280"/>
      <c r="Q191" s="280">
        <v>1000000</v>
      </c>
      <c r="R191" s="80"/>
      <c r="S191" s="80"/>
      <c r="T191" s="80"/>
      <c r="U191" s="226">
        <v>19819187.9</v>
      </c>
      <c r="V191" s="3">
        <v>859935.95</v>
      </c>
      <c r="W191" s="225">
        <f t="shared" si="16"/>
        <v>104.3115152631579</v>
      </c>
      <c r="X191" s="225">
        <f t="shared" si="17"/>
        <v>122.84799285714286</v>
      </c>
      <c r="Y191" s="3">
        <v>5</v>
      </c>
      <c r="Z191" s="3" t="s">
        <v>453</v>
      </c>
      <c r="AA191" s="3">
        <v>3</v>
      </c>
    </row>
    <row r="192" spans="1:27" s="3" customFormat="1" ht="19.5" customHeight="1" hidden="1">
      <c r="A192" s="176"/>
      <c r="B192" s="137"/>
      <c r="C192" s="177" t="s">
        <v>330</v>
      </c>
      <c r="D192" s="107">
        <v>426750</v>
      </c>
      <c r="E192" s="165" t="s">
        <v>331</v>
      </c>
      <c r="F192" s="18">
        <f>SUM(G192:K192)</f>
        <v>24825558</v>
      </c>
      <c r="G192" s="33"/>
      <c r="H192" s="47"/>
      <c r="I192" s="47">
        <f>SUM(I193:I194)</f>
        <v>24725558</v>
      </c>
      <c r="J192" s="47"/>
      <c r="K192" s="47">
        <f>SUM(K193:K194)</f>
        <v>100000</v>
      </c>
      <c r="L192" s="18">
        <f>SUM(M192:Q192)</f>
        <v>26474941</v>
      </c>
      <c r="M192" s="33"/>
      <c r="N192" s="47"/>
      <c r="O192" s="47">
        <f>SUM(O193:O194)</f>
        <v>26324941</v>
      </c>
      <c r="P192" s="47"/>
      <c r="Q192" s="47">
        <f>SUM(Q193:Q194)</f>
        <v>150000</v>
      </c>
      <c r="R192" s="80"/>
      <c r="S192" s="80"/>
      <c r="T192" s="80"/>
      <c r="U192" s="226"/>
      <c r="W192" s="43">
        <f t="shared" si="16"/>
        <v>0</v>
      </c>
      <c r="X192" s="43">
        <f t="shared" si="17"/>
        <v>0</v>
      </c>
      <c r="Y192" s="3">
        <v>6</v>
      </c>
      <c r="Z192" s="3" t="s">
        <v>454</v>
      </c>
      <c r="AA192" s="3">
        <v>4</v>
      </c>
    </row>
    <row r="193" spans="1:27" s="3" customFormat="1" ht="19.5" customHeight="1" hidden="1">
      <c r="A193" s="176"/>
      <c r="B193" s="202"/>
      <c r="C193" s="179" t="s">
        <v>332</v>
      </c>
      <c r="D193" s="248">
        <v>426751</v>
      </c>
      <c r="E193" s="249" t="s">
        <v>333</v>
      </c>
      <c r="F193" s="250">
        <f>+G193+H193+I193+K193</f>
        <v>16307000</v>
      </c>
      <c r="G193" s="251"/>
      <c r="H193" s="251"/>
      <c r="I193" s="251">
        <f>15907000+300000</f>
        <v>16207000</v>
      </c>
      <c r="J193" s="251"/>
      <c r="K193" s="251">
        <v>100000</v>
      </c>
      <c r="L193" s="250">
        <f>+M193+N193+O193+Q193</f>
        <v>17956383</v>
      </c>
      <c r="M193" s="251"/>
      <c r="N193" s="251"/>
      <c r="O193" s="251">
        <f>15907000+300000+1593383+6000</f>
        <v>17806383</v>
      </c>
      <c r="P193" s="251"/>
      <c r="Q193" s="251">
        <v>150000</v>
      </c>
      <c r="R193" s="79"/>
      <c r="S193" s="79"/>
      <c r="T193" s="79"/>
      <c r="U193" s="226">
        <f>15956107.36-1862.16</f>
        <v>15954245.2</v>
      </c>
      <c r="V193" s="3">
        <v>131275.95</v>
      </c>
      <c r="W193" s="43">
        <f t="shared" si="16"/>
        <v>98.44045906089961</v>
      </c>
      <c r="X193" s="225">
        <f t="shared" si="17"/>
        <v>131.27595</v>
      </c>
      <c r="Y193" s="3">
        <v>7</v>
      </c>
      <c r="Z193" s="3" t="s">
        <v>455</v>
      </c>
      <c r="AA193" s="3">
        <v>4</v>
      </c>
    </row>
    <row r="194" spans="1:27" s="3" customFormat="1" ht="19.5" customHeight="1" hidden="1">
      <c r="A194" s="176"/>
      <c r="B194" s="178"/>
      <c r="C194" s="179" t="s">
        <v>334</v>
      </c>
      <c r="D194" s="205">
        <v>42675108</v>
      </c>
      <c r="E194" s="106" t="s">
        <v>335</v>
      </c>
      <c r="F194" s="17">
        <f>+G194+H194+I194+K194</f>
        <v>8518558</v>
      </c>
      <c r="G194" s="33"/>
      <c r="H194" s="33"/>
      <c r="I194" s="33">
        <v>8518558</v>
      </c>
      <c r="J194" s="33"/>
      <c r="K194" s="33"/>
      <c r="L194" s="17">
        <f>+M194+N194+O194+Q194</f>
        <v>8518558</v>
      </c>
      <c r="M194" s="33"/>
      <c r="N194" s="33"/>
      <c r="O194" s="33">
        <v>8518558</v>
      </c>
      <c r="P194" s="33"/>
      <c r="Q194" s="33"/>
      <c r="R194" s="79"/>
      <c r="S194" s="79"/>
      <c r="T194" s="79"/>
      <c r="U194" s="226">
        <v>7225577.65</v>
      </c>
      <c r="W194" s="43">
        <f t="shared" si="16"/>
        <v>84.82160537029858</v>
      </c>
      <c r="X194" s="43" t="e">
        <f t="shared" si="17"/>
        <v>#DIV/0!</v>
      </c>
      <c r="Y194" s="3">
        <v>8</v>
      </c>
      <c r="Z194" s="3" t="s">
        <v>456</v>
      </c>
      <c r="AA194" s="3">
        <v>5</v>
      </c>
    </row>
    <row r="195" spans="1:29" s="3" customFormat="1" ht="19.5" customHeight="1" hidden="1">
      <c r="A195" s="182"/>
      <c r="B195" s="204"/>
      <c r="C195" s="177" t="s">
        <v>336</v>
      </c>
      <c r="D195" s="107">
        <v>426790</v>
      </c>
      <c r="E195" s="165" t="s">
        <v>337</v>
      </c>
      <c r="F195" s="18">
        <f>+G195+H195+I195+K195</f>
        <v>2108000</v>
      </c>
      <c r="G195" s="47"/>
      <c r="H195" s="47"/>
      <c r="I195" s="47">
        <f>I196+I197</f>
        <v>1808000</v>
      </c>
      <c r="J195" s="47"/>
      <c r="K195" s="47">
        <f>K196+K197</f>
        <v>300000</v>
      </c>
      <c r="L195" s="18">
        <f>+M195+N195+O195+Q195</f>
        <v>3240261</v>
      </c>
      <c r="M195" s="47"/>
      <c r="N195" s="47"/>
      <c r="O195" s="47">
        <f>O196+O197</f>
        <v>3108000</v>
      </c>
      <c r="P195" s="47"/>
      <c r="Q195" s="47">
        <f>Q196+Q197</f>
        <v>132261</v>
      </c>
      <c r="R195" s="80"/>
      <c r="S195" s="80"/>
      <c r="T195" s="80"/>
      <c r="U195" s="226"/>
      <c r="W195" s="43">
        <f t="shared" si="16"/>
        <v>0</v>
      </c>
      <c r="X195" s="43">
        <f t="shared" si="17"/>
        <v>0</v>
      </c>
      <c r="Y195" s="3">
        <v>9</v>
      </c>
      <c r="Z195" s="3" t="s">
        <v>457</v>
      </c>
      <c r="AA195" s="3">
        <v>3</v>
      </c>
      <c r="AC195" s="3">
        <f>184-16</f>
        <v>168</v>
      </c>
    </row>
    <row r="196" spans="1:27" s="3" customFormat="1" ht="19.5" customHeight="1" hidden="1">
      <c r="A196" s="176"/>
      <c r="B196" s="188"/>
      <c r="C196" s="179" t="s">
        <v>338</v>
      </c>
      <c r="D196" s="248">
        <v>42679128</v>
      </c>
      <c r="E196" s="249" t="s">
        <v>339</v>
      </c>
      <c r="F196" s="250">
        <f>+G196+H196+I196+K196</f>
        <v>1448000</v>
      </c>
      <c r="G196" s="251"/>
      <c r="H196" s="251"/>
      <c r="I196" s="251">
        <v>1148000</v>
      </c>
      <c r="J196" s="251"/>
      <c r="K196" s="251">
        <v>300000</v>
      </c>
      <c r="L196" s="250">
        <f>+M196+N196+O196+Q196</f>
        <v>2380261</v>
      </c>
      <c r="M196" s="251"/>
      <c r="N196" s="251"/>
      <c r="O196" s="251">
        <v>2248000</v>
      </c>
      <c r="P196" s="251"/>
      <c r="Q196" s="291">
        <f>300000-167739</f>
        <v>132261</v>
      </c>
      <c r="R196" s="79"/>
      <c r="S196" s="79"/>
      <c r="T196" s="79"/>
      <c r="U196" s="226">
        <v>2171535.65</v>
      </c>
      <c r="V196" s="3">
        <v>8149.2</v>
      </c>
      <c r="W196" s="225">
        <f t="shared" si="16"/>
        <v>189.1581576655052</v>
      </c>
      <c r="X196" s="43">
        <f t="shared" si="17"/>
        <v>2.7164</v>
      </c>
      <c r="Y196" s="3">
        <v>10</v>
      </c>
      <c r="Z196" s="3" t="s">
        <v>458</v>
      </c>
      <c r="AA196" s="3">
        <v>5</v>
      </c>
    </row>
    <row r="197" spans="1:27" s="3" customFormat="1" ht="19.5" customHeight="1" hidden="1">
      <c r="A197" s="176"/>
      <c r="B197" s="188"/>
      <c r="C197" s="179" t="s">
        <v>340</v>
      </c>
      <c r="D197" s="231">
        <v>42679101</v>
      </c>
      <c r="E197" s="233" t="s">
        <v>341</v>
      </c>
      <c r="F197" s="236">
        <f>+G197+H197+I197+K197</f>
        <v>660000</v>
      </c>
      <c r="G197" s="291"/>
      <c r="H197" s="291"/>
      <c r="I197" s="291">
        <v>660000</v>
      </c>
      <c r="J197" s="291"/>
      <c r="K197" s="291"/>
      <c r="L197" s="236">
        <f>+M197+N197+O197+Q197</f>
        <v>860000</v>
      </c>
      <c r="M197" s="291"/>
      <c r="N197" s="291"/>
      <c r="O197" s="291">
        <v>860000</v>
      </c>
      <c r="P197" s="291"/>
      <c r="Q197" s="291"/>
      <c r="R197" s="79"/>
      <c r="S197" s="79"/>
      <c r="T197" s="79"/>
      <c r="U197" s="226">
        <v>584057.2</v>
      </c>
      <c r="W197" s="43">
        <f t="shared" si="16"/>
        <v>88.49351515151514</v>
      </c>
      <c r="X197" s="43" t="e">
        <f t="shared" si="17"/>
        <v>#DIV/0!</v>
      </c>
      <c r="Y197" s="3">
        <v>11</v>
      </c>
      <c r="Z197" s="3" t="s">
        <v>459</v>
      </c>
      <c r="AA197" s="3">
        <v>3</v>
      </c>
    </row>
    <row r="198" spans="1:27" s="3" customFormat="1" ht="24.75" customHeight="1">
      <c r="A198" s="176"/>
      <c r="B198" s="127"/>
      <c r="C198" s="177" t="s">
        <v>113</v>
      </c>
      <c r="D198" s="334">
        <v>426800</v>
      </c>
      <c r="E198" s="313" t="s">
        <v>437</v>
      </c>
      <c r="F198" s="324">
        <f aca="true" t="shared" si="18" ref="F198:F215">SUM(G198:K198)</f>
        <v>1355000</v>
      </c>
      <c r="G198" s="311"/>
      <c r="H198" s="311"/>
      <c r="I198" s="311">
        <f>+I199+I203+I200+I201+I202</f>
        <v>1355000</v>
      </c>
      <c r="J198" s="311"/>
      <c r="K198" s="311"/>
      <c r="L198" s="324">
        <f aca="true" t="shared" si="19" ref="L198:L215">SUM(M198:Q198)</f>
        <v>1822000</v>
      </c>
      <c r="M198" s="311"/>
      <c r="N198" s="311"/>
      <c r="O198" s="311">
        <f>+O199+O203+O200+O201+O202</f>
        <v>1822000</v>
      </c>
      <c r="P198" s="311"/>
      <c r="Q198" s="311"/>
      <c r="R198" s="80"/>
      <c r="S198" s="80"/>
      <c r="T198" s="80"/>
      <c r="U198" s="226"/>
      <c r="W198" s="43">
        <f t="shared" si="16"/>
        <v>0</v>
      </c>
      <c r="X198" s="43" t="e">
        <f t="shared" si="17"/>
        <v>#DIV/0!</v>
      </c>
      <c r="Y198" s="3">
        <v>12</v>
      </c>
      <c r="Z198" s="3" t="s">
        <v>460</v>
      </c>
      <c r="AA198" s="3">
        <v>5</v>
      </c>
    </row>
    <row r="199" spans="1:27" s="3" customFormat="1" ht="21" customHeight="1" hidden="1">
      <c r="A199" s="150"/>
      <c r="B199" s="202"/>
      <c r="C199" s="168" t="s">
        <v>342</v>
      </c>
      <c r="D199" s="231">
        <v>426811</v>
      </c>
      <c r="E199" s="233" t="s">
        <v>343</v>
      </c>
      <c r="F199" s="236">
        <f t="shared" si="18"/>
        <v>1245000</v>
      </c>
      <c r="G199" s="291"/>
      <c r="H199" s="291"/>
      <c r="I199" s="291">
        <v>1245000</v>
      </c>
      <c r="J199" s="291"/>
      <c r="K199" s="291"/>
      <c r="L199" s="236">
        <f t="shared" si="19"/>
        <v>1712000</v>
      </c>
      <c r="M199" s="291"/>
      <c r="N199" s="291"/>
      <c r="O199" s="291">
        <v>1712000</v>
      </c>
      <c r="P199" s="291"/>
      <c r="Q199" s="291"/>
      <c r="R199" s="79"/>
      <c r="S199" s="79"/>
      <c r="T199" s="79"/>
      <c r="U199" s="226">
        <v>1227648.2</v>
      </c>
      <c r="V199" s="3">
        <f>+O199-U199</f>
        <v>484351.80000000005</v>
      </c>
      <c r="W199" s="225">
        <f t="shared" si="16"/>
        <v>98.60628112449798</v>
      </c>
      <c r="X199" s="43" t="e">
        <f t="shared" si="17"/>
        <v>#DIV/0!</v>
      </c>
      <c r="Y199" s="3">
        <v>13</v>
      </c>
      <c r="Z199" s="3" t="s">
        <v>461</v>
      </c>
      <c r="AA199" s="3">
        <v>5</v>
      </c>
    </row>
    <row r="200" spans="1:27" s="3" customFormat="1" ht="21" customHeight="1" hidden="1">
      <c r="A200" s="150"/>
      <c r="B200" s="200"/>
      <c r="C200" s="168" t="s">
        <v>344</v>
      </c>
      <c r="D200" s="105">
        <v>426812</v>
      </c>
      <c r="E200" s="106" t="s">
        <v>345</v>
      </c>
      <c r="F200" s="17">
        <f t="shared" si="18"/>
        <v>60000</v>
      </c>
      <c r="G200" s="33"/>
      <c r="H200" s="33"/>
      <c r="I200" s="33">
        <v>60000</v>
      </c>
      <c r="J200" s="33"/>
      <c r="K200" s="33"/>
      <c r="L200" s="17">
        <f t="shared" si="19"/>
        <v>60000</v>
      </c>
      <c r="M200" s="33"/>
      <c r="N200" s="33"/>
      <c r="O200" s="33">
        <v>60000</v>
      </c>
      <c r="P200" s="33"/>
      <c r="Q200" s="33"/>
      <c r="R200" s="79"/>
      <c r="S200" s="79"/>
      <c r="T200" s="79"/>
      <c r="U200" s="226">
        <v>7533</v>
      </c>
      <c r="W200" s="43">
        <f t="shared" si="16"/>
        <v>12.555</v>
      </c>
      <c r="X200" s="43" t="e">
        <f t="shared" si="17"/>
        <v>#DIV/0!</v>
      </c>
      <c r="Y200" s="3">
        <v>14</v>
      </c>
      <c r="Z200" s="3" t="s">
        <v>462</v>
      </c>
      <c r="AA200" s="3">
        <v>5</v>
      </c>
    </row>
    <row r="201" spans="1:27" s="3" customFormat="1" ht="21" customHeight="1" hidden="1">
      <c r="A201" s="150"/>
      <c r="B201" s="200"/>
      <c r="C201" s="168" t="s">
        <v>346</v>
      </c>
      <c r="D201" s="105">
        <v>426819</v>
      </c>
      <c r="E201" s="106" t="s">
        <v>347</v>
      </c>
      <c r="F201" s="17">
        <f t="shared" si="18"/>
        <v>5000</v>
      </c>
      <c r="G201" s="33"/>
      <c r="H201" s="33"/>
      <c r="I201" s="33">
        <v>5000</v>
      </c>
      <c r="J201" s="33"/>
      <c r="K201" s="33"/>
      <c r="L201" s="17">
        <f t="shared" si="19"/>
        <v>5000</v>
      </c>
      <c r="M201" s="33"/>
      <c r="N201" s="33"/>
      <c r="O201" s="33">
        <v>5000</v>
      </c>
      <c r="P201" s="33"/>
      <c r="Q201" s="33"/>
      <c r="R201" s="79"/>
      <c r="S201" s="79"/>
      <c r="T201" s="79"/>
      <c r="U201" s="226"/>
      <c r="W201" s="43">
        <f t="shared" si="16"/>
        <v>0</v>
      </c>
      <c r="X201" s="43" t="e">
        <f t="shared" si="17"/>
        <v>#DIV/0!</v>
      </c>
      <c r="Y201" s="3">
        <v>15</v>
      </c>
      <c r="Z201" s="3" t="s">
        <v>463</v>
      </c>
      <c r="AA201" s="3">
        <v>5</v>
      </c>
    </row>
    <row r="202" spans="1:27" s="3" customFormat="1" ht="21" customHeight="1" hidden="1">
      <c r="A202" s="150"/>
      <c r="B202" s="200"/>
      <c r="C202" s="168" t="s">
        <v>348</v>
      </c>
      <c r="D202" s="105">
        <v>426829</v>
      </c>
      <c r="E202" s="106" t="s">
        <v>412</v>
      </c>
      <c r="F202" s="17">
        <f t="shared" si="18"/>
        <v>30000</v>
      </c>
      <c r="G202" s="33"/>
      <c r="H202" s="33"/>
      <c r="I202" s="33">
        <v>30000</v>
      </c>
      <c r="J202" s="33"/>
      <c r="K202" s="33"/>
      <c r="L202" s="17">
        <f t="shared" si="19"/>
        <v>30000</v>
      </c>
      <c r="M202" s="33"/>
      <c r="N202" s="33"/>
      <c r="O202" s="33">
        <v>30000</v>
      </c>
      <c r="P202" s="33"/>
      <c r="Q202" s="33"/>
      <c r="R202" s="79"/>
      <c r="S202" s="79"/>
      <c r="T202" s="79"/>
      <c r="U202" s="226"/>
      <c r="W202" s="43">
        <f t="shared" si="16"/>
        <v>0</v>
      </c>
      <c r="X202" s="43" t="e">
        <f t="shared" si="17"/>
        <v>#DIV/0!</v>
      </c>
      <c r="AA202" s="3">
        <f>SUM(AA187:AA201)</f>
        <v>63</v>
      </c>
    </row>
    <row r="203" spans="1:27" s="3" customFormat="1" ht="21" customHeight="1" hidden="1">
      <c r="A203" s="150"/>
      <c r="B203" s="200"/>
      <c r="C203" s="168" t="s">
        <v>421</v>
      </c>
      <c r="D203" s="105">
        <v>4268292</v>
      </c>
      <c r="E203" s="106" t="s">
        <v>349</v>
      </c>
      <c r="F203" s="17">
        <f t="shared" si="18"/>
        <v>15000</v>
      </c>
      <c r="G203" s="33"/>
      <c r="H203" s="33"/>
      <c r="I203" s="33">
        <v>15000</v>
      </c>
      <c r="J203" s="33"/>
      <c r="K203" s="33"/>
      <c r="L203" s="17">
        <f t="shared" si="19"/>
        <v>15000</v>
      </c>
      <c r="M203" s="33"/>
      <c r="N203" s="33"/>
      <c r="O203" s="33">
        <v>15000</v>
      </c>
      <c r="P203" s="33"/>
      <c r="Q203" s="33"/>
      <c r="R203" s="79"/>
      <c r="S203" s="79"/>
      <c r="T203" s="79"/>
      <c r="U203" s="226">
        <v>1490</v>
      </c>
      <c r="W203" s="43">
        <f t="shared" si="16"/>
        <v>9.933333333333334</v>
      </c>
      <c r="X203" s="43" t="e">
        <f t="shared" si="17"/>
        <v>#DIV/0!</v>
      </c>
      <c r="AA203" s="43">
        <f>+AA202/15</f>
        <v>4.2</v>
      </c>
    </row>
    <row r="204" spans="1:24" s="3" customFormat="1" ht="21" customHeight="1" thickBot="1">
      <c r="A204" s="176"/>
      <c r="B204" s="204"/>
      <c r="C204" s="177" t="s">
        <v>114</v>
      </c>
      <c r="D204" s="334">
        <v>426900</v>
      </c>
      <c r="E204" s="313" t="s">
        <v>115</v>
      </c>
      <c r="F204" s="324">
        <f t="shared" si="18"/>
        <v>473000.39</v>
      </c>
      <c r="G204" s="311"/>
      <c r="H204" s="311"/>
      <c r="I204" s="311">
        <f>SUM(I205:I215)</f>
        <v>473000.39</v>
      </c>
      <c r="J204" s="311"/>
      <c r="K204" s="311"/>
      <c r="L204" s="324">
        <f t="shared" si="19"/>
        <v>533000.39</v>
      </c>
      <c r="M204" s="311"/>
      <c r="N204" s="311"/>
      <c r="O204" s="311">
        <f>SUM(O205:O215)</f>
        <v>533000.39</v>
      </c>
      <c r="P204" s="311"/>
      <c r="Q204" s="311"/>
      <c r="R204" s="80"/>
      <c r="S204" s="80"/>
      <c r="T204" s="80"/>
      <c r="U204" s="226"/>
      <c r="W204" s="43">
        <f t="shared" si="16"/>
        <v>0</v>
      </c>
      <c r="X204" s="43" t="e">
        <f t="shared" si="17"/>
        <v>#DIV/0!</v>
      </c>
    </row>
    <row r="205" spans="1:24" s="3" customFormat="1" ht="18.75" customHeight="1" hidden="1">
      <c r="A205" s="176"/>
      <c r="B205" s="206"/>
      <c r="C205" s="310" t="s">
        <v>350</v>
      </c>
      <c r="D205" s="231">
        <v>42691101</v>
      </c>
      <c r="E205" s="233" t="s">
        <v>351</v>
      </c>
      <c r="F205" s="236">
        <f t="shared" si="18"/>
        <v>100000</v>
      </c>
      <c r="G205" s="291"/>
      <c r="H205" s="291"/>
      <c r="I205" s="291">
        <v>100000</v>
      </c>
      <c r="J205" s="291"/>
      <c r="K205" s="291"/>
      <c r="L205" s="236">
        <f t="shared" si="19"/>
        <v>140000</v>
      </c>
      <c r="M205" s="291"/>
      <c r="N205" s="291"/>
      <c r="O205" s="291">
        <v>140000</v>
      </c>
      <c r="P205" s="291"/>
      <c r="Q205" s="291"/>
      <c r="R205" s="79"/>
      <c r="S205" s="79"/>
      <c r="T205" s="79"/>
      <c r="U205" s="226">
        <v>108374.51</v>
      </c>
      <c r="W205" s="225">
        <f t="shared" si="16"/>
        <v>108.37451</v>
      </c>
      <c r="X205" s="43" t="e">
        <f t="shared" si="17"/>
        <v>#DIV/0!</v>
      </c>
    </row>
    <row r="206" spans="1:24" s="3" customFormat="1" ht="18.75" customHeight="1" hidden="1">
      <c r="A206" s="176"/>
      <c r="B206" s="206"/>
      <c r="C206" s="310" t="s">
        <v>352</v>
      </c>
      <c r="D206" s="231">
        <v>42691102</v>
      </c>
      <c r="E206" s="233" t="s">
        <v>353</v>
      </c>
      <c r="F206" s="236">
        <f t="shared" si="18"/>
        <v>80000</v>
      </c>
      <c r="G206" s="291"/>
      <c r="H206" s="291"/>
      <c r="I206" s="291">
        <v>80000</v>
      </c>
      <c r="J206" s="291"/>
      <c r="K206" s="291"/>
      <c r="L206" s="236">
        <f t="shared" si="19"/>
        <v>100000</v>
      </c>
      <c r="M206" s="291"/>
      <c r="N206" s="291"/>
      <c r="O206" s="291">
        <v>100000</v>
      </c>
      <c r="P206" s="291"/>
      <c r="Q206" s="291"/>
      <c r="R206" s="79"/>
      <c r="S206" s="79"/>
      <c r="T206" s="79"/>
      <c r="U206" s="226">
        <v>68928.78</v>
      </c>
      <c r="W206" s="43">
        <f t="shared" si="16"/>
        <v>86.160975</v>
      </c>
      <c r="X206" s="43" t="e">
        <f t="shared" si="17"/>
        <v>#DIV/0!</v>
      </c>
    </row>
    <row r="207" spans="1:24" s="3" customFormat="1" ht="18.75" customHeight="1" hidden="1">
      <c r="A207" s="176"/>
      <c r="B207" s="206"/>
      <c r="C207" s="179" t="s">
        <v>354</v>
      </c>
      <c r="D207" s="105">
        <v>42691103</v>
      </c>
      <c r="E207" s="106" t="s">
        <v>355</v>
      </c>
      <c r="F207" s="17">
        <f t="shared" si="18"/>
        <v>58000.39</v>
      </c>
      <c r="G207" s="33"/>
      <c r="H207" s="33"/>
      <c r="I207" s="33">
        <v>58000.39</v>
      </c>
      <c r="J207" s="33"/>
      <c r="K207" s="33"/>
      <c r="L207" s="17">
        <f t="shared" si="19"/>
        <v>58000.39</v>
      </c>
      <c r="M207" s="33"/>
      <c r="N207" s="33"/>
      <c r="O207" s="33">
        <v>58000.39</v>
      </c>
      <c r="P207" s="33"/>
      <c r="Q207" s="33"/>
      <c r="R207" s="79"/>
      <c r="S207" s="79"/>
      <c r="T207" s="79"/>
      <c r="U207" s="226">
        <v>20645.45</v>
      </c>
      <c r="W207" s="43">
        <f t="shared" si="16"/>
        <v>35.59536410013795</v>
      </c>
      <c r="X207" s="43" t="e">
        <f t="shared" si="17"/>
        <v>#DIV/0!</v>
      </c>
    </row>
    <row r="208" spans="1:24" s="3" customFormat="1" ht="18.75" customHeight="1" hidden="1">
      <c r="A208" s="176"/>
      <c r="B208" s="206"/>
      <c r="C208" s="179" t="s">
        <v>356</v>
      </c>
      <c r="D208" s="105">
        <v>42691104</v>
      </c>
      <c r="E208" s="106" t="s">
        <v>357</v>
      </c>
      <c r="F208" s="17">
        <f t="shared" si="18"/>
        <v>20000</v>
      </c>
      <c r="G208" s="33"/>
      <c r="H208" s="33"/>
      <c r="I208" s="33">
        <v>20000</v>
      </c>
      <c r="J208" s="33"/>
      <c r="K208" s="33"/>
      <c r="L208" s="17">
        <f t="shared" si="19"/>
        <v>20000</v>
      </c>
      <c r="M208" s="33"/>
      <c r="N208" s="33"/>
      <c r="O208" s="33">
        <v>20000</v>
      </c>
      <c r="P208" s="33"/>
      <c r="Q208" s="33"/>
      <c r="R208" s="79"/>
      <c r="S208" s="79"/>
      <c r="T208" s="79"/>
      <c r="U208" s="226">
        <v>3327.05</v>
      </c>
      <c r="W208" s="43">
        <f t="shared" si="16"/>
        <v>16.635250000000003</v>
      </c>
      <c r="X208" s="43" t="e">
        <f t="shared" si="17"/>
        <v>#DIV/0!</v>
      </c>
    </row>
    <row r="209" spans="1:24" s="3" customFormat="1" ht="18.75" customHeight="1" hidden="1">
      <c r="A209" s="176"/>
      <c r="B209" s="206"/>
      <c r="C209" s="179" t="s">
        <v>358</v>
      </c>
      <c r="D209" s="105">
        <v>42691105</v>
      </c>
      <c r="E209" s="106" t="s">
        <v>359</v>
      </c>
      <c r="F209" s="17">
        <f t="shared" si="18"/>
        <v>30000</v>
      </c>
      <c r="G209" s="33"/>
      <c r="H209" s="33"/>
      <c r="I209" s="33">
        <v>30000</v>
      </c>
      <c r="J209" s="33"/>
      <c r="K209" s="33"/>
      <c r="L209" s="17">
        <f t="shared" si="19"/>
        <v>30000</v>
      </c>
      <c r="M209" s="33"/>
      <c r="N209" s="33"/>
      <c r="O209" s="33">
        <v>30000</v>
      </c>
      <c r="P209" s="33"/>
      <c r="Q209" s="33"/>
      <c r="R209" s="79"/>
      <c r="S209" s="79"/>
      <c r="T209" s="79"/>
      <c r="U209" s="226">
        <v>6225</v>
      </c>
      <c r="W209" s="43">
        <f t="shared" si="16"/>
        <v>20.75</v>
      </c>
      <c r="X209" s="43" t="e">
        <f t="shared" si="17"/>
        <v>#DIV/0!</v>
      </c>
    </row>
    <row r="210" spans="1:24" s="3" customFormat="1" ht="18.75" customHeight="1" hidden="1">
      <c r="A210" s="176"/>
      <c r="B210" s="206"/>
      <c r="C210" s="179" t="s">
        <v>360</v>
      </c>
      <c r="D210" s="105">
        <v>42691106</v>
      </c>
      <c r="E210" s="106" t="s">
        <v>361</v>
      </c>
      <c r="F210" s="17">
        <f t="shared" si="18"/>
        <v>30000</v>
      </c>
      <c r="G210" s="33"/>
      <c r="H210" s="33"/>
      <c r="I210" s="33">
        <v>30000</v>
      </c>
      <c r="J210" s="33"/>
      <c r="K210" s="33"/>
      <c r="L210" s="17">
        <f t="shared" si="19"/>
        <v>30000</v>
      </c>
      <c r="M210" s="33"/>
      <c r="N210" s="33"/>
      <c r="O210" s="33">
        <v>30000</v>
      </c>
      <c r="P210" s="33"/>
      <c r="Q210" s="33"/>
      <c r="R210" s="79"/>
      <c r="S210" s="79"/>
      <c r="T210" s="79"/>
      <c r="U210" s="226">
        <v>5430</v>
      </c>
      <c r="W210" s="43">
        <f t="shared" si="16"/>
        <v>18.099999999999998</v>
      </c>
      <c r="X210" s="43" t="e">
        <f t="shared" si="17"/>
        <v>#DIV/0!</v>
      </c>
    </row>
    <row r="211" spans="1:24" s="3" customFormat="1" ht="18.75" customHeight="1" hidden="1">
      <c r="A211" s="176"/>
      <c r="B211" s="206"/>
      <c r="C211" s="179" t="s">
        <v>362</v>
      </c>
      <c r="D211" s="105">
        <v>42691107</v>
      </c>
      <c r="E211" s="106" t="s">
        <v>363</v>
      </c>
      <c r="F211" s="17">
        <f t="shared" si="18"/>
        <v>20000</v>
      </c>
      <c r="G211" s="33"/>
      <c r="H211" s="33"/>
      <c r="I211" s="33">
        <v>20000</v>
      </c>
      <c r="J211" s="33"/>
      <c r="K211" s="33"/>
      <c r="L211" s="17">
        <f t="shared" si="19"/>
        <v>20000</v>
      </c>
      <c r="M211" s="33"/>
      <c r="N211" s="33"/>
      <c r="O211" s="33">
        <v>20000</v>
      </c>
      <c r="P211" s="33"/>
      <c r="Q211" s="33"/>
      <c r="R211" s="79"/>
      <c r="S211" s="79"/>
      <c r="T211" s="79"/>
      <c r="U211" s="226">
        <v>16650</v>
      </c>
      <c r="W211" s="43">
        <f t="shared" si="16"/>
        <v>83.25</v>
      </c>
      <c r="X211" s="43" t="e">
        <f t="shared" si="17"/>
        <v>#DIV/0!</v>
      </c>
    </row>
    <row r="212" spans="1:24" s="3" customFormat="1" ht="18.75" customHeight="1" hidden="1">
      <c r="A212" s="176"/>
      <c r="B212" s="200"/>
      <c r="C212" s="179" t="s">
        <v>364</v>
      </c>
      <c r="D212" s="105">
        <v>426912</v>
      </c>
      <c r="E212" s="106" t="s">
        <v>365</v>
      </c>
      <c r="F212" s="17">
        <f t="shared" si="18"/>
        <v>40000</v>
      </c>
      <c r="G212" s="33"/>
      <c r="H212" s="33"/>
      <c r="I212" s="33">
        <v>40000</v>
      </c>
      <c r="J212" s="33"/>
      <c r="K212" s="33"/>
      <c r="L212" s="17">
        <f t="shared" si="19"/>
        <v>40000</v>
      </c>
      <c r="M212" s="33"/>
      <c r="N212" s="33"/>
      <c r="O212" s="33">
        <v>40000</v>
      </c>
      <c r="P212" s="33"/>
      <c r="Q212" s="33"/>
      <c r="R212" s="79"/>
      <c r="S212" s="79"/>
      <c r="T212" s="79"/>
      <c r="U212" s="226">
        <v>15982.05</v>
      </c>
      <c r="W212" s="43">
        <f t="shared" si="16"/>
        <v>39.955124999999995</v>
      </c>
      <c r="X212" s="43" t="e">
        <f t="shared" si="17"/>
        <v>#DIV/0!</v>
      </c>
    </row>
    <row r="213" spans="1:24" s="3" customFormat="1" ht="18.75" customHeight="1" hidden="1">
      <c r="A213" s="176"/>
      <c r="B213" s="200"/>
      <c r="C213" s="179" t="s">
        <v>366</v>
      </c>
      <c r="D213" s="105">
        <v>4269121</v>
      </c>
      <c r="E213" s="106" t="s">
        <v>367</v>
      </c>
      <c r="F213" s="17">
        <f t="shared" si="18"/>
        <v>10000</v>
      </c>
      <c r="G213" s="33"/>
      <c r="H213" s="33"/>
      <c r="I213" s="33">
        <v>10000</v>
      </c>
      <c r="J213" s="33"/>
      <c r="K213" s="33"/>
      <c r="L213" s="17">
        <f t="shared" si="19"/>
        <v>10000</v>
      </c>
      <c r="M213" s="33"/>
      <c r="N213" s="33"/>
      <c r="O213" s="33">
        <v>10000</v>
      </c>
      <c r="P213" s="33"/>
      <c r="Q213" s="33"/>
      <c r="R213" s="79"/>
      <c r="S213" s="79"/>
      <c r="T213" s="79"/>
      <c r="U213" s="226">
        <v>7646.99</v>
      </c>
      <c r="W213" s="43">
        <f t="shared" si="16"/>
        <v>76.4699</v>
      </c>
      <c r="X213" s="43" t="e">
        <f t="shared" si="17"/>
        <v>#DIV/0!</v>
      </c>
    </row>
    <row r="214" spans="1:24" s="3" customFormat="1" ht="18.75" customHeight="1" hidden="1">
      <c r="A214" s="176"/>
      <c r="B214" s="200"/>
      <c r="C214" s="179" t="s">
        <v>368</v>
      </c>
      <c r="D214" s="105">
        <v>4269122</v>
      </c>
      <c r="E214" s="106" t="s">
        <v>369</v>
      </c>
      <c r="F214" s="17">
        <f t="shared" si="18"/>
        <v>75000</v>
      </c>
      <c r="G214" s="33"/>
      <c r="H214" s="33"/>
      <c r="I214" s="33">
        <v>75000</v>
      </c>
      <c r="J214" s="33"/>
      <c r="K214" s="33"/>
      <c r="L214" s="17">
        <f t="shared" si="19"/>
        <v>75000</v>
      </c>
      <c r="M214" s="33"/>
      <c r="N214" s="33"/>
      <c r="O214" s="33">
        <v>75000</v>
      </c>
      <c r="P214" s="33"/>
      <c r="Q214" s="33"/>
      <c r="R214" s="79"/>
      <c r="S214" s="79"/>
      <c r="T214" s="79"/>
      <c r="U214" s="226">
        <v>6456</v>
      </c>
      <c r="W214" s="43">
        <f t="shared" si="16"/>
        <v>8.608</v>
      </c>
      <c r="X214" s="43" t="e">
        <f t="shared" si="17"/>
        <v>#DIV/0!</v>
      </c>
    </row>
    <row r="215" spans="1:24" s="3" customFormat="1" ht="18.75" customHeight="1" hidden="1" thickBot="1">
      <c r="A215" s="176"/>
      <c r="B215" s="200"/>
      <c r="C215" s="179" t="s">
        <v>370</v>
      </c>
      <c r="D215" s="113">
        <v>426914</v>
      </c>
      <c r="E215" s="153" t="s">
        <v>371</v>
      </c>
      <c r="F215" s="23">
        <f t="shared" si="18"/>
        <v>10000</v>
      </c>
      <c r="G215" s="51"/>
      <c r="H215" s="51"/>
      <c r="I215" s="51">
        <v>10000</v>
      </c>
      <c r="J215" s="51"/>
      <c r="K215" s="51"/>
      <c r="L215" s="23">
        <f t="shared" si="19"/>
        <v>10000</v>
      </c>
      <c r="M215" s="51"/>
      <c r="N215" s="51"/>
      <c r="O215" s="51">
        <v>10000</v>
      </c>
      <c r="P215" s="51"/>
      <c r="Q215" s="51"/>
      <c r="R215" s="79"/>
      <c r="S215" s="79"/>
      <c r="T215" s="79"/>
      <c r="U215" s="226"/>
      <c r="W215" s="43">
        <f t="shared" si="16"/>
        <v>0</v>
      </c>
      <c r="X215" s="43" t="e">
        <f t="shared" si="17"/>
        <v>#DIV/0!</v>
      </c>
    </row>
    <row r="216" spans="1:24" s="3" customFormat="1" ht="32.25" customHeight="1" thickBot="1" thickTop="1">
      <c r="A216" s="122" t="s">
        <v>29</v>
      </c>
      <c r="B216" s="120">
        <v>444200</v>
      </c>
      <c r="C216" s="207"/>
      <c r="D216" s="362" t="s">
        <v>116</v>
      </c>
      <c r="E216" s="362"/>
      <c r="F216" s="12">
        <f>+G216+H216+I216+K216</f>
        <v>485000</v>
      </c>
      <c r="G216" s="39"/>
      <c r="H216" s="39"/>
      <c r="I216" s="39"/>
      <c r="J216" s="39"/>
      <c r="K216" s="39">
        <f>+K218+K217</f>
        <v>485000</v>
      </c>
      <c r="L216" s="12">
        <f>+M216+N216+O216+Q216</f>
        <v>485000</v>
      </c>
      <c r="M216" s="39"/>
      <c r="N216" s="39"/>
      <c r="O216" s="39"/>
      <c r="P216" s="39"/>
      <c r="Q216" s="39">
        <f>+Q218+Q217</f>
        <v>485000</v>
      </c>
      <c r="R216" s="80"/>
      <c r="S216" s="80"/>
      <c r="T216" s="80"/>
      <c r="U216" s="226"/>
      <c r="W216" s="43" t="e">
        <f t="shared" si="16"/>
        <v>#DIV/0!</v>
      </c>
      <c r="X216" s="43">
        <f t="shared" si="17"/>
        <v>0</v>
      </c>
    </row>
    <row r="217" spans="1:24" s="3" customFormat="1" ht="23.25" customHeight="1" hidden="1" thickBot="1" thickTop="1">
      <c r="A217" s="122"/>
      <c r="B217" s="124"/>
      <c r="C217" s="208"/>
      <c r="D217" s="156">
        <v>444211</v>
      </c>
      <c r="E217" s="157" t="s">
        <v>117</v>
      </c>
      <c r="F217" s="26">
        <f>+K217</f>
        <v>120000</v>
      </c>
      <c r="G217" s="52"/>
      <c r="H217" s="52"/>
      <c r="I217" s="52"/>
      <c r="J217" s="52"/>
      <c r="K217" s="52">
        <v>120000</v>
      </c>
      <c r="L217" s="26">
        <f>+Q217</f>
        <v>120000</v>
      </c>
      <c r="M217" s="52"/>
      <c r="N217" s="52"/>
      <c r="O217" s="52"/>
      <c r="P217" s="52"/>
      <c r="Q217" s="52">
        <v>120000</v>
      </c>
      <c r="R217" s="79"/>
      <c r="S217" s="79"/>
      <c r="T217" s="79"/>
      <c r="U217" s="226">
        <v>43474.57</v>
      </c>
      <c r="W217" s="43" t="e">
        <f t="shared" si="16"/>
        <v>#DIV/0!</v>
      </c>
      <c r="X217" s="43">
        <f t="shared" si="17"/>
        <v>0</v>
      </c>
    </row>
    <row r="218" spans="1:93" s="3" customFormat="1" ht="23.25" customHeight="1" hidden="1" thickBot="1" thickTop="1">
      <c r="A218" s="122"/>
      <c r="B218" s="124"/>
      <c r="C218" s="208"/>
      <c r="D218" s="156">
        <v>444212</v>
      </c>
      <c r="E218" s="157" t="s">
        <v>420</v>
      </c>
      <c r="F218" s="26">
        <f>+K218</f>
        <v>365000</v>
      </c>
      <c r="G218" s="52"/>
      <c r="H218" s="52"/>
      <c r="I218" s="52"/>
      <c r="J218" s="52"/>
      <c r="K218" s="52">
        <f>450000-85000</f>
        <v>365000</v>
      </c>
      <c r="L218" s="26">
        <f>+Q218</f>
        <v>365000</v>
      </c>
      <c r="M218" s="52"/>
      <c r="N218" s="52"/>
      <c r="O218" s="52"/>
      <c r="P218" s="52"/>
      <c r="Q218" s="52">
        <f>450000-85000</f>
        <v>365000</v>
      </c>
      <c r="R218" s="79"/>
      <c r="S218" s="79"/>
      <c r="T218" s="79"/>
      <c r="U218" s="226">
        <v>67371.31</v>
      </c>
      <c r="V218" s="3">
        <v>152653.79</v>
      </c>
      <c r="W218" s="43" t="e">
        <f t="shared" si="16"/>
        <v>#DIV/0!</v>
      </c>
      <c r="X218" s="43">
        <f t="shared" si="17"/>
        <v>41.82295616438356</v>
      </c>
      <c r="CO218" s="3">
        <f>800000/60</f>
        <v>13333.333333333334</v>
      </c>
    </row>
    <row r="219" spans="1:24" s="3" customFormat="1" ht="24.75" customHeight="1" thickBot="1" thickTop="1">
      <c r="A219" s="209" t="s">
        <v>31</v>
      </c>
      <c r="B219" s="120">
        <v>465100</v>
      </c>
      <c r="C219" s="207"/>
      <c r="D219" s="387" t="s">
        <v>118</v>
      </c>
      <c r="E219" s="387"/>
      <c r="F219" s="340">
        <f>+G219+H219+I219+K219</f>
        <v>2661490</v>
      </c>
      <c r="G219" s="341"/>
      <c r="H219" s="341"/>
      <c r="I219" s="341">
        <f>+I220</f>
        <v>2624410</v>
      </c>
      <c r="J219" s="341"/>
      <c r="K219" s="342">
        <f>+K220</f>
        <v>37080</v>
      </c>
      <c r="L219" s="340">
        <f>+M219+N219+O219+Q219</f>
        <v>3581627</v>
      </c>
      <c r="M219" s="341"/>
      <c r="N219" s="341"/>
      <c r="O219" s="341">
        <f>+O220</f>
        <v>3250000</v>
      </c>
      <c r="P219" s="341"/>
      <c r="Q219" s="342">
        <f>+Q220</f>
        <v>331627</v>
      </c>
      <c r="R219" s="80"/>
      <c r="S219" s="80"/>
      <c r="T219" s="80"/>
      <c r="U219" s="226"/>
      <c r="W219" s="43">
        <f t="shared" si="16"/>
        <v>0</v>
      </c>
      <c r="X219" s="43">
        <f t="shared" si="17"/>
        <v>0</v>
      </c>
    </row>
    <row r="220" spans="1:24" s="3" customFormat="1" ht="28.5" customHeight="1" hidden="1" thickBot="1" thickTop="1">
      <c r="A220" s="176"/>
      <c r="B220" s="188"/>
      <c r="C220" s="210" t="s">
        <v>372</v>
      </c>
      <c r="D220" s="293">
        <v>465112</v>
      </c>
      <c r="E220" s="294" t="s">
        <v>119</v>
      </c>
      <c r="F220" s="295">
        <f>+K220+I220</f>
        <v>2661490</v>
      </c>
      <c r="G220" s="296"/>
      <c r="H220" s="296"/>
      <c r="I220" s="296">
        <v>2624410</v>
      </c>
      <c r="J220" s="297"/>
      <c r="K220" s="298">
        <v>37080</v>
      </c>
      <c r="L220" s="295">
        <f>+Q220+O220</f>
        <v>3581627</v>
      </c>
      <c r="M220" s="296"/>
      <c r="N220" s="296"/>
      <c r="O220" s="296">
        <v>3250000</v>
      </c>
      <c r="P220" s="297"/>
      <c r="Q220" s="298">
        <v>331627</v>
      </c>
      <c r="R220" s="79"/>
      <c r="S220" s="79"/>
      <c r="T220" s="79"/>
      <c r="U220" s="226">
        <f>247545+2673345</f>
        <v>2920890</v>
      </c>
      <c r="V220" s="3">
        <v>286627.31</v>
      </c>
      <c r="W220" s="225">
        <f t="shared" si="16"/>
        <v>111.2970153291597</v>
      </c>
      <c r="X220" s="225">
        <f t="shared" si="17"/>
        <v>772.9970604099245</v>
      </c>
    </row>
    <row r="221" spans="1:24" s="3" customFormat="1" ht="28.5" customHeight="1" thickBot="1" thickTop="1">
      <c r="A221" s="122" t="s">
        <v>120</v>
      </c>
      <c r="B221" s="120">
        <v>481900</v>
      </c>
      <c r="C221" s="121"/>
      <c r="D221" s="388" t="s">
        <v>121</v>
      </c>
      <c r="E221" s="388"/>
      <c r="F221" s="323">
        <f>+I221+J221+K221</f>
        <v>220000</v>
      </c>
      <c r="G221" s="350"/>
      <c r="H221" s="243"/>
      <c r="I221" s="243"/>
      <c r="J221" s="354"/>
      <c r="K221" s="355">
        <f>+K222</f>
        <v>220000</v>
      </c>
      <c r="L221" s="323">
        <f>+O221+P221+Q221</f>
        <v>220000</v>
      </c>
      <c r="M221" s="350"/>
      <c r="N221" s="243"/>
      <c r="O221" s="243">
        <f>+O222</f>
        <v>220000</v>
      </c>
      <c r="P221" s="354"/>
      <c r="Q221" s="355"/>
      <c r="R221" s="80"/>
      <c r="S221" s="80"/>
      <c r="T221" s="80"/>
      <c r="U221" s="226">
        <f>+U220+300000</f>
        <v>3220890</v>
      </c>
      <c r="V221" s="3">
        <f>+O220+300000</f>
        <v>3550000</v>
      </c>
      <c r="W221" s="43" t="e">
        <f t="shared" si="16"/>
        <v>#DIV/0!</v>
      </c>
      <c r="X221" s="43">
        <f t="shared" si="17"/>
        <v>1613.6363636363637</v>
      </c>
    </row>
    <row r="222" spans="1:24" s="3" customFormat="1" ht="28.5" customHeight="1" hidden="1" thickBot="1" thickTop="1">
      <c r="A222" s="176"/>
      <c r="B222" s="188"/>
      <c r="C222" s="210" t="s">
        <v>373</v>
      </c>
      <c r="D222" s="315">
        <v>481991</v>
      </c>
      <c r="E222" s="316" t="s">
        <v>122</v>
      </c>
      <c r="F222" s="317">
        <f>+I222+J222+K222</f>
        <v>220000</v>
      </c>
      <c r="G222" s="318"/>
      <c r="H222" s="318"/>
      <c r="I222" s="318"/>
      <c r="J222" s="319"/>
      <c r="K222" s="320">
        <f>110000+110000</f>
        <v>220000</v>
      </c>
      <c r="L222" s="317">
        <f>+O222+P222+Q222</f>
        <v>220000</v>
      </c>
      <c r="M222" s="318"/>
      <c r="N222" s="318"/>
      <c r="O222" s="318">
        <v>220000</v>
      </c>
      <c r="P222" s="319"/>
      <c r="Q222" s="320"/>
      <c r="R222" s="79"/>
      <c r="S222" s="79"/>
      <c r="T222" s="79"/>
      <c r="U222" s="226"/>
      <c r="V222" s="3">
        <f>286627+45000</f>
        <v>331627</v>
      </c>
      <c r="W222" s="43" t="e">
        <f t="shared" si="16"/>
        <v>#DIV/0!</v>
      </c>
      <c r="X222" s="43">
        <f t="shared" si="17"/>
        <v>150.73954545454546</v>
      </c>
    </row>
    <row r="223" spans="1:24" s="3" customFormat="1" ht="21" customHeight="1" thickBot="1" thickTop="1">
      <c r="A223" s="97" t="s">
        <v>123</v>
      </c>
      <c r="B223" s="116">
        <v>482000</v>
      </c>
      <c r="C223" s="212"/>
      <c r="D223" s="389" t="s">
        <v>124</v>
      </c>
      <c r="E223" s="389"/>
      <c r="F223" s="343">
        <f>+I224+I227</f>
        <v>143000</v>
      </c>
      <c r="G223" s="343"/>
      <c r="H223" s="343"/>
      <c r="I223" s="343">
        <f>+I224+I227</f>
        <v>143000</v>
      </c>
      <c r="J223" s="343"/>
      <c r="K223" s="343">
        <f>+K224+K227</f>
        <v>643000</v>
      </c>
      <c r="L223" s="343">
        <f>+M223+N223+O223+P223+Q223</f>
        <v>453000</v>
      </c>
      <c r="M223" s="343"/>
      <c r="N223" s="343"/>
      <c r="O223" s="343">
        <f>+O224+O227</f>
        <v>153000</v>
      </c>
      <c r="P223" s="343"/>
      <c r="Q223" s="343">
        <f>+Q224+Q227</f>
        <v>300000</v>
      </c>
      <c r="R223" s="62"/>
      <c r="S223" s="62"/>
      <c r="T223" s="62"/>
      <c r="U223" s="226"/>
      <c r="W223" s="43">
        <f t="shared" si="16"/>
        <v>0</v>
      </c>
      <c r="X223" s="43">
        <f t="shared" si="17"/>
        <v>0</v>
      </c>
    </row>
    <row r="224" spans="1:24" s="3" customFormat="1" ht="21" customHeight="1" thickTop="1">
      <c r="A224" s="213"/>
      <c r="B224" s="154"/>
      <c r="C224" s="214"/>
      <c r="D224" s="344">
        <v>482100</v>
      </c>
      <c r="E224" s="345" t="s">
        <v>423</v>
      </c>
      <c r="F224" s="346">
        <f>+I225+I226</f>
        <v>140000</v>
      </c>
      <c r="G224" s="346"/>
      <c r="H224" s="346"/>
      <c r="I224" s="346">
        <f>+I225+I226</f>
        <v>140000</v>
      </c>
      <c r="J224" s="346"/>
      <c r="K224" s="346">
        <f>+K225+K226</f>
        <v>500000</v>
      </c>
      <c r="L224" s="346">
        <f>+O225+O226</f>
        <v>140000</v>
      </c>
      <c r="M224" s="346"/>
      <c r="N224" s="346"/>
      <c r="O224" s="346">
        <f>+O225+O226</f>
        <v>140000</v>
      </c>
      <c r="P224" s="346"/>
      <c r="Q224" s="346">
        <f>+Q225+Q226</f>
        <v>80000</v>
      </c>
      <c r="R224" s="62"/>
      <c r="S224" s="62"/>
      <c r="T224" s="62"/>
      <c r="U224" s="226"/>
      <c r="W224" s="43">
        <f t="shared" si="16"/>
        <v>0</v>
      </c>
      <c r="X224" s="43">
        <f t="shared" si="17"/>
        <v>0</v>
      </c>
    </row>
    <row r="225" spans="1:24" s="3" customFormat="1" ht="19.5" customHeight="1" hidden="1">
      <c r="A225" s="159"/>
      <c r="B225" s="167"/>
      <c r="C225" s="194" t="s">
        <v>374</v>
      </c>
      <c r="D225" s="118">
        <v>482131</v>
      </c>
      <c r="E225" s="196" t="s">
        <v>375</v>
      </c>
      <c r="F225" s="26">
        <f>+G225+H225+I225+K225</f>
        <v>140000</v>
      </c>
      <c r="G225" s="52"/>
      <c r="H225" s="52"/>
      <c r="I225" s="52">
        <v>140000</v>
      </c>
      <c r="J225" s="52"/>
      <c r="K225" s="52"/>
      <c r="L225" s="26">
        <f>+M225+N225+O225+Q225</f>
        <v>140000</v>
      </c>
      <c r="M225" s="52"/>
      <c r="N225" s="52"/>
      <c r="O225" s="52">
        <v>140000</v>
      </c>
      <c r="P225" s="52"/>
      <c r="Q225" s="52"/>
      <c r="R225" s="79"/>
      <c r="S225" s="79"/>
      <c r="T225" s="79"/>
      <c r="U225" s="226">
        <v>130128.05</v>
      </c>
      <c r="W225" s="43">
        <f t="shared" si="16"/>
        <v>92.94860714285714</v>
      </c>
      <c r="X225" s="43" t="e">
        <f t="shared" si="17"/>
        <v>#DIV/0!</v>
      </c>
    </row>
    <row r="226" spans="1:24" s="3" customFormat="1" ht="19.5" customHeight="1" hidden="1">
      <c r="A226" s="159"/>
      <c r="B226" s="167"/>
      <c r="C226" s="305" t="s">
        <v>376</v>
      </c>
      <c r="D226" s="306">
        <v>4821912</v>
      </c>
      <c r="E226" s="307" t="s">
        <v>377</v>
      </c>
      <c r="F226" s="308">
        <f>+G226+H226+I226+K226</f>
        <v>500000</v>
      </c>
      <c r="G226" s="309"/>
      <c r="H226" s="309"/>
      <c r="I226" s="309"/>
      <c r="J226" s="309"/>
      <c r="K226" s="309">
        <v>500000</v>
      </c>
      <c r="L226" s="308">
        <f>+M226+N226+O226+Q226</f>
        <v>80000</v>
      </c>
      <c r="M226" s="309"/>
      <c r="N226" s="309"/>
      <c r="O226" s="309"/>
      <c r="P226" s="309"/>
      <c r="Q226" s="309">
        <v>80000</v>
      </c>
      <c r="R226" s="79"/>
      <c r="S226" s="79"/>
      <c r="T226" s="79"/>
      <c r="U226" s="226"/>
      <c r="V226" s="3">
        <v>73688</v>
      </c>
      <c r="W226" s="43" t="e">
        <f t="shared" si="16"/>
        <v>#DIV/0!</v>
      </c>
      <c r="X226" s="43">
        <f t="shared" si="17"/>
        <v>14.7376</v>
      </c>
    </row>
    <row r="227" spans="1:24" s="3" customFormat="1" ht="19.5" customHeight="1" thickBot="1">
      <c r="A227" s="159"/>
      <c r="B227" s="167"/>
      <c r="C227" s="194"/>
      <c r="D227" s="347">
        <v>482200</v>
      </c>
      <c r="E227" s="348" t="s">
        <v>424</v>
      </c>
      <c r="F227" s="349">
        <f>+I228+I229+I230+I231</f>
        <v>3000</v>
      </c>
      <c r="G227" s="349"/>
      <c r="H227" s="349"/>
      <c r="I227" s="349">
        <f>+I228+I229+I230+I231</f>
        <v>3000</v>
      </c>
      <c r="J227" s="349"/>
      <c r="K227" s="349">
        <f>+K228+K229+K230+K231</f>
        <v>143000</v>
      </c>
      <c r="L227" s="324">
        <f aca="true" t="shared" si="20" ref="L227:L235">+M227+N227+O227+Q227</f>
        <v>233000</v>
      </c>
      <c r="M227" s="349"/>
      <c r="N227" s="349"/>
      <c r="O227" s="349">
        <f>+O228+O229+O230+O231</f>
        <v>13000</v>
      </c>
      <c r="P227" s="349"/>
      <c r="Q227" s="349">
        <f>+Q228+Q229+Q230+Q231</f>
        <v>220000</v>
      </c>
      <c r="R227" s="80"/>
      <c r="S227" s="80"/>
      <c r="T227" s="80"/>
      <c r="U227" s="226"/>
      <c r="W227" s="43">
        <f t="shared" si="16"/>
        <v>0</v>
      </c>
      <c r="X227" s="43">
        <f t="shared" si="17"/>
        <v>0</v>
      </c>
    </row>
    <row r="228" spans="1:24" s="3" customFormat="1" ht="19.5" customHeight="1" hidden="1">
      <c r="A228" s="129"/>
      <c r="B228" s="198"/>
      <c r="C228" s="215" t="s">
        <v>378</v>
      </c>
      <c r="D228" s="105">
        <v>482211</v>
      </c>
      <c r="E228" s="106" t="s">
        <v>379</v>
      </c>
      <c r="F228" s="17">
        <f aca="true" t="shared" si="21" ref="F228:F235">+G228+H228+I228+K228</f>
        <v>47000</v>
      </c>
      <c r="G228" s="33"/>
      <c r="H228" s="33"/>
      <c r="I228" s="33">
        <v>2000</v>
      </c>
      <c r="J228" s="33"/>
      <c r="K228" s="33">
        <v>45000</v>
      </c>
      <c r="L228" s="17">
        <f t="shared" si="20"/>
        <v>47000</v>
      </c>
      <c r="M228" s="33"/>
      <c r="N228" s="33"/>
      <c r="O228" s="33">
        <v>2000</v>
      </c>
      <c r="P228" s="33"/>
      <c r="Q228" s="33">
        <v>45000</v>
      </c>
      <c r="R228" s="79"/>
      <c r="S228" s="79"/>
      <c r="T228" s="79"/>
      <c r="U228" s="226"/>
      <c r="W228" s="43">
        <f t="shared" si="16"/>
        <v>0</v>
      </c>
      <c r="X228" s="43">
        <f t="shared" si="17"/>
        <v>0</v>
      </c>
    </row>
    <row r="229" spans="1:24" s="3" customFormat="1" ht="19.5" customHeight="1" hidden="1">
      <c r="A229" s="129"/>
      <c r="B229" s="177"/>
      <c r="C229" s="299" t="s">
        <v>380</v>
      </c>
      <c r="D229" s="231">
        <v>482251</v>
      </c>
      <c r="E229" s="233" t="s">
        <v>381</v>
      </c>
      <c r="F229" s="236">
        <f t="shared" si="21"/>
        <v>93000</v>
      </c>
      <c r="G229" s="291"/>
      <c r="H229" s="291"/>
      <c r="I229" s="291"/>
      <c r="J229" s="291"/>
      <c r="K229" s="291">
        <v>93000</v>
      </c>
      <c r="L229" s="236">
        <f t="shared" si="20"/>
        <v>180000</v>
      </c>
      <c r="M229" s="291"/>
      <c r="N229" s="291"/>
      <c r="O229" s="291">
        <v>10000</v>
      </c>
      <c r="P229" s="291"/>
      <c r="Q229" s="291">
        <v>170000</v>
      </c>
      <c r="R229" s="79"/>
      <c r="S229" s="79"/>
      <c r="T229" s="79"/>
      <c r="U229" s="226">
        <v>5490</v>
      </c>
      <c r="V229" s="3">
        <v>151773</v>
      </c>
      <c r="W229" s="43" t="e">
        <f t="shared" si="16"/>
        <v>#DIV/0!</v>
      </c>
      <c r="X229" s="225">
        <f t="shared" si="17"/>
        <v>163.19677419354838</v>
      </c>
    </row>
    <row r="230" spans="1:24" s="3" customFormat="1" ht="19.5" customHeight="1" hidden="1">
      <c r="A230" s="123"/>
      <c r="B230" s="188"/>
      <c r="C230" s="215" t="s">
        <v>382</v>
      </c>
      <c r="D230" s="105">
        <v>482241</v>
      </c>
      <c r="E230" s="139" t="s">
        <v>383</v>
      </c>
      <c r="F230" s="17">
        <f t="shared" si="21"/>
        <v>1000</v>
      </c>
      <c r="G230" s="33"/>
      <c r="H230" s="33"/>
      <c r="I230" s="33">
        <v>1000</v>
      </c>
      <c r="J230" s="33"/>
      <c r="K230" s="33"/>
      <c r="L230" s="17">
        <f t="shared" si="20"/>
        <v>1000</v>
      </c>
      <c r="M230" s="33"/>
      <c r="N230" s="33"/>
      <c r="O230" s="33">
        <v>1000</v>
      </c>
      <c r="P230" s="33"/>
      <c r="Q230" s="33"/>
      <c r="R230" s="79"/>
      <c r="S230" s="79"/>
      <c r="T230" s="79"/>
      <c r="U230" s="226"/>
      <c r="W230" s="43">
        <f t="shared" si="16"/>
        <v>0</v>
      </c>
      <c r="X230" s="43" t="e">
        <f t="shared" si="17"/>
        <v>#DIV/0!</v>
      </c>
    </row>
    <row r="231" spans="1:24" s="3" customFormat="1" ht="19.5" customHeight="1" hidden="1" thickBot="1">
      <c r="A231" s="123"/>
      <c r="B231" s="188"/>
      <c r="C231" s="215" t="s">
        <v>384</v>
      </c>
      <c r="D231" s="208">
        <v>482311</v>
      </c>
      <c r="E231" s="216" t="s">
        <v>385</v>
      </c>
      <c r="F231" s="17">
        <f t="shared" si="21"/>
        <v>5000</v>
      </c>
      <c r="G231" s="41"/>
      <c r="H231" s="41"/>
      <c r="I231" s="41"/>
      <c r="J231" s="41"/>
      <c r="K231" s="41">
        <v>5000</v>
      </c>
      <c r="L231" s="17">
        <f t="shared" si="20"/>
        <v>5000</v>
      </c>
      <c r="M231" s="41"/>
      <c r="N231" s="41"/>
      <c r="O231" s="41"/>
      <c r="P231" s="41"/>
      <c r="Q231" s="41">
        <v>5000</v>
      </c>
      <c r="R231" s="79"/>
      <c r="S231" s="79"/>
      <c r="T231" s="79"/>
      <c r="U231" s="226"/>
      <c r="W231" s="43" t="e">
        <f t="shared" si="16"/>
        <v>#DIV/0!</v>
      </c>
      <c r="X231" s="225">
        <f t="shared" si="17"/>
        <v>0</v>
      </c>
    </row>
    <row r="232" spans="1:24" s="3" customFormat="1" ht="25.5" customHeight="1" thickBot="1" thickTop="1">
      <c r="A232" s="97" t="s">
        <v>125</v>
      </c>
      <c r="B232" s="120">
        <v>483100</v>
      </c>
      <c r="C232" s="207"/>
      <c r="D232" s="390" t="s">
        <v>126</v>
      </c>
      <c r="E232" s="391"/>
      <c r="F232" s="323">
        <f t="shared" si="21"/>
        <v>510000</v>
      </c>
      <c r="G232" s="350"/>
      <c r="H232" s="243"/>
      <c r="I232" s="243"/>
      <c r="J232" s="243"/>
      <c r="K232" s="243">
        <f>+K233+K234+K235</f>
        <v>510000</v>
      </c>
      <c r="L232" s="323">
        <f t="shared" si="20"/>
        <v>1410000</v>
      </c>
      <c r="M232" s="350"/>
      <c r="N232" s="243"/>
      <c r="O232" s="243"/>
      <c r="P232" s="243"/>
      <c r="Q232" s="243">
        <f>+Q233+Q234+Q235</f>
        <v>1410000</v>
      </c>
      <c r="R232" s="62"/>
      <c r="S232" s="62"/>
      <c r="T232" s="62"/>
      <c r="U232" s="226"/>
      <c r="W232" s="43" t="e">
        <f t="shared" si="16"/>
        <v>#DIV/0!</v>
      </c>
      <c r="X232" s="43">
        <f t="shared" si="17"/>
        <v>0</v>
      </c>
    </row>
    <row r="233" spans="1:24" s="3" customFormat="1" ht="24" customHeight="1" hidden="1" thickTop="1">
      <c r="A233" s="123"/>
      <c r="B233" s="188"/>
      <c r="C233" s="300" t="s">
        <v>386</v>
      </c>
      <c r="D233" s="301">
        <v>483111</v>
      </c>
      <c r="E233" s="302" t="s">
        <v>127</v>
      </c>
      <c r="F233" s="303">
        <f t="shared" si="21"/>
        <v>500000</v>
      </c>
      <c r="G233" s="304"/>
      <c r="H233" s="304"/>
      <c r="I233" s="304"/>
      <c r="J233" s="304"/>
      <c r="K233" s="304">
        <v>500000</v>
      </c>
      <c r="L233" s="303">
        <f t="shared" si="20"/>
        <v>1400000</v>
      </c>
      <c r="M233" s="304"/>
      <c r="N233" s="304"/>
      <c r="O233" s="304"/>
      <c r="P233" s="304"/>
      <c r="Q233" s="304">
        <v>1400000</v>
      </c>
      <c r="R233" s="79"/>
      <c r="S233" s="79"/>
      <c r="T233" s="79"/>
      <c r="U233" s="226"/>
      <c r="V233" s="3">
        <v>1400000</v>
      </c>
      <c r="W233" s="43" t="e">
        <f t="shared" si="16"/>
        <v>#DIV/0!</v>
      </c>
      <c r="X233" s="225">
        <f t="shared" si="17"/>
        <v>280</v>
      </c>
    </row>
    <row r="234" spans="1:24" s="3" customFormat="1" ht="24" customHeight="1" hidden="1">
      <c r="A234" s="123"/>
      <c r="B234" s="188"/>
      <c r="C234" s="210" t="s">
        <v>387</v>
      </c>
      <c r="D234" s="105">
        <v>4831112</v>
      </c>
      <c r="E234" s="139" t="s">
        <v>388</v>
      </c>
      <c r="F234" s="17">
        <f t="shared" si="21"/>
        <v>10000</v>
      </c>
      <c r="G234" s="33"/>
      <c r="H234" s="33"/>
      <c r="I234" s="33"/>
      <c r="J234" s="33"/>
      <c r="K234" s="33">
        <v>10000</v>
      </c>
      <c r="L234" s="17">
        <f t="shared" si="20"/>
        <v>10000</v>
      </c>
      <c r="M234" s="33"/>
      <c r="N234" s="33"/>
      <c r="O234" s="33"/>
      <c r="P234" s="33"/>
      <c r="Q234" s="33">
        <v>10000</v>
      </c>
      <c r="R234" s="79"/>
      <c r="S234" s="79"/>
      <c r="T234" s="79"/>
      <c r="U234" s="226"/>
      <c r="W234" s="43" t="e">
        <f t="shared" si="16"/>
        <v>#DIV/0!</v>
      </c>
      <c r="X234" s="43">
        <f t="shared" si="17"/>
        <v>0</v>
      </c>
    </row>
    <row r="235" spans="1:24" s="3" customFormat="1" ht="24" customHeight="1" hidden="1" thickBot="1">
      <c r="A235" s="123"/>
      <c r="B235" s="188"/>
      <c r="C235" s="210" t="s">
        <v>389</v>
      </c>
      <c r="D235" s="112">
        <v>4831113</v>
      </c>
      <c r="E235" s="211" t="s">
        <v>390</v>
      </c>
      <c r="F235" s="26">
        <f t="shared" si="21"/>
        <v>0</v>
      </c>
      <c r="G235" s="52"/>
      <c r="H235" s="52"/>
      <c r="I235" s="52"/>
      <c r="J235" s="52"/>
      <c r="K235" s="52"/>
      <c r="L235" s="26">
        <f t="shared" si="20"/>
        <v>0</v>
      </c>
      <c r="M235" s="52"/>
      <c r="N235" s="52"/>
      <c r="O235" s="52"/>
      <c r="P235" s="52"/>
      <c r="Q235" s="52"/>
      <c r="R235" s="79"/>
      <c r="S235" s="79"/>
      <c r="T235" s="79"/>
      <c r="U235" s="226"/>
      <c r="W235" s="43" t="e">
        <f t="shared" si="16"/>
        <v>#DIV/0!</v>
      </c>
      <c r="X235" s="43" t="e">
        <f t="shared" si="17"/>
        <v>#DIV/0!</v>
      </c>
    </row>
    <row r="236" spans="1:75" s="3" customFormat="1" ht="26.25" customHeight="1" thickBot="1" thickTop="1">
      <c r="A236" s="122" t="s">
        <v>128</v>
      </c>
      <c r="B236" s="217" t="s">
        <v>129</v>
      </c>
      <c r="C236" s="218" t="s">
        <v>391</v>
      </c>
      <c r="D236" s="357" t="s">
        <v>130</v>
      </c>
      <c r="E236" s="357"/>
      <c r="F236" s="40">
        <f>+G236+H236+I236+K236+J236</f>
        <v>10135000</v>
      </c>
      <c r="G236" s="42"/>
      <c r="H236" s="40">
        <f>+H237+H238+H244</f>
        <v>10000000</v>
      </c>
      <c r="I236" s="40"/>
      <c r="J236" s="40"/>
      <c r="K236" s="40">
        <f>+K237+K238+K244</f>
        <v>135000</v>
      </c>
      <c r="L236" s="40">
        <f>+M236+N236+O236+Q236+P236</f>
        <v>10891192</v>
      </c>
      <c r="M236" s="42">
        <f>+M237</f>
        <v>750000</v>
      </c>
      <c r="N236" s="40">
        <f>+N237+N238+N244</f>
        <v>10000000</v>
      </c>
      <c r="O236" s="40"/>
      <c r="P236" s="40"/>
      <c r="Q236" s="40">
        <f>+Q237+Q238+Q244</f>
        <v>141192</v>
      </c>
      <c r="R236" s="61"/>
      <c r="S236" s="61"/>
      <c r="T236" s="61"/>
      <c r="U236" s="226"/>
      <c r="W236" s="43" t="e">
        <f t="shared" si="16"/>
        <v>#DIV/0!</v>
      </c>
      <c r="X236" s="43">
        <f t="shared" si="17"/>
        <v>0</v>
      </c>
      <c r="BV236" s="3">
        <v>1032692</v>
      </c>
      <c r="BW236" s="3">
        <f>+BV236/117</f>
        <v>8826.42735042735</v>
      </c>
    </row>
    <row r="237" spans="1:74" s="3" customFormat="1" ht="22.5" customHeight="1" thickTop="1">
      <c r="A237" s="134"/>
      <c r="B237" s="198"/>
      <c r="C237" s="92" t="s">
        <v>392</v>
      </c>
      <c r="D237" s="351">
        <v>511300</v>
      </c>
      <c r="E237" s="352" t="s">
        <v>131</v>
      </c>
      <c r="F237" s="327">
        <f>+G237+H237+I237+K237</f>
        <v>782200</v>
      </c>
      <c r="G237" s="353"/>
      <c r="H237" s="327">
        <v>782200</v>
      </c>
      <c r="I237" s="327"/>
      <c r="J237" s="327"/>
      <c r="K237" s="327"/>
      <c r="L237" s="327">
        <f>+M237+N237+O237+Q237</f>
        <v>1532200</v>
      </c>
      <c r="M237" s="353">
        <v>750000</v>
      </c>
      <c r="N237" s="327">
        <v>782200</v>
      </c>
      <c r="O237" s="327"/>
      <c r="P237" s="327"/>
      <c r="Q237" s="327"/>
      <c r="R237" s="61"/>
      <c r="S237" s="61"/>
      <c r="T237" s="61"/>
      <c r="U237" s="226"/>
      <c r="W237" s="43" t="e">
        <f t="shared" si="16"/>
        <v>#DIV/0!</v>
      </c>
      <c r="X237" s="43" t="e">
        <f t="shared" si="17"/>
        <v>#DIV/0!</v>
      </c>
      <c r="BV237" s="3">
        <f>+BV236/36</f>
        <v>28685.88888888889</v>
      </c>
    </row>
    <row r="238" spans="1:24" s="3" customFormat="1" ht="24" customHeight="1">
      <c r="A238" s="134"/>
      <c r="B238" s="198"/>
      <c r="C238" s="92" t="s">
        <v>393</v>
      </c>
      <c r="D238" s="351">
        <v>512200</v>
      </c>
      <c r="E238" s="352" t="s">
        <v>132</v>
      </c>
      <c r="F238" s="327">
        <f>+G238+H238+I238+J238</f>
        <v>1917800</v>
      </c>
      <c r="G238" s="327"/>
      <c r="H238" s="327">
        <f>+H239+H240+H242</f>
        <v>1917800</v>
      </c>
      <c r="I238" s="327"/>
      <c r="J238" s="327"/>
      <c r="K238" s="327">
        <f>+K239+K240+K242+K241</f>
        <v>135000</v>
      </c>
      <c r="L238" s="327">
        <f>+M238+N238+O238+P238+Q238</f>
        <v>2058992</v>
      </c>
      <c r="M238" s="327"/>
      <c r="N238" s="327">
        <f>+N239+N240+N242</f>
        <v>1917800</v>
      </c>
      <c r="O238" s="327"/>
      <c r="P238" s="327"/>
      <c r="Q238" s="327">
        <f>+Q239+Q240+Q242+Q241+Q243</f>
        <v>141192</v>
      </c>
      <c r="R238" s="61"/>
      <c r="S238" s="61"/>
      <c r="T238" s="61"/>
      <c r="U238" s="226"/>
      <c r="W238" s="43" t="e">
        <f aca="true" t="shared" si="22" ref="W238:W248">+U238/I238*100</f>
        <v>#DIV/0!</v>
      </c>
      <c r="X238" s="43">
        <f aca="true" t="shared" si="23" ref="X238:X248">+V238/K238*100</f>
        <v>0</v>
      </c>
    </row>
    <row r="239" spans="1:74" s="3" customFormat="1" ht="18" customHeight="1">
      <c r="A239" s="129"/>
      <c r="B239" s="177"/>
      <c r="C239" s="93"/>
      <c r="D239" s="105">
        <v>512211</v>
      </c>
      <c r="E239" s="219" t="s">
        <v>274</v>
      </c>
      <c r="F239" s="17">
        <f>+G239+H239+I239+K239</f>
        <v>400000</v>
      </c>
      <c r="G239" s="35"/>
      <c r="H239" s="17">
        <v>400000</v>
      </c>
      <c r="I239" s="17"/>
      <c r="J239" s="17"/>
      <c r="K239" s="17"/>
      <c r="L239" s="17">
        <f>+M239+N239+O239+Q239</f>
        <v>400000</v>
      </c>
      <c r="M239" s="35"/>
      <c r="N239" s="17">
        <v>400000</v>
      </c>
      <c r="O239" s="17"/>
      <c r="P239" s="17"/>
      <c r="Q239" s="17"/>
      <c r="R239" s="64"/>
      <c r="S239" s="64"/>
      <c r="T239" s="64"/>
      <c r="U239" s="226"/>
      <c r="W239" s="43" t="e">
        <f t="shared" si="22"/>
        <v>#DIV/0!</v>
      </c>
      <c r="X239" s="43" t="e">
        <f t="shared" si="23"/>
        <v>#DIV/0!</v>
      </c>
      <c r="BV239" s="3">
        <f>1050000/117</f>
        <v>8974.358974358975</v>
      </c>
    </row>
    <row r="240" spans="1:24" s="3" customFormat="1" ht="18" customHeight="1">
      <c r="A240" s="129"/>
      <c r="B240" s="177"/>
      <c r="C240" s="93"/>
      <c r="D240" s="105">
        <v>512221</v>
      </c>
      <c r="E240" s="106" t="s">
        <v>276</v>
      </c>
      <c r="F240" s="17">
        <f>+G240+H240+I240+K240</f>
        <v>1217800</v>
      </c>
      <c r="G240" s="35"/>
      <c r="H240" s="17">
        <v>1117800</v>
      </c>
      <c r="I240" s="17"/>
      <c r="J240" s="17"/>
      <c r="K240" s="17">
        <v>100000</v>
      </c>
      <c r="L240" s="17">
        <f>+M240+N240+O240+Q240</f>
        <v>1217800</v>
      </c>
      <c r="M240" s="35"/>
      <c r="N240" s="17">
        <v>1117800</v>
      </c>
      <c r="O240" s="17"/>
      <c r="P240" s="17"/>
      <c r="Q240" s="17">
        <v>100000</v>
      </c>
      <c r="R240" s="64"/>
      <c r="S240" s="64"/>
      <c r="T240" s="64"/>
      <c r="U240" s="226">
        <v>614400</v>
      </c>
      <c r="W240" s="43">
        <f>+U240/N240*100</f>
        <v>54.96511003757381</v>
      </c>
      <c r="X240" s="43">
        <f t="shared" si="23"/>
        <v>0</v>
      </c>
    </row>
    <row r="241" spans="1:24" s="3" customFormat="1" ht="18" customHeight="1">
      <c r="A241" s="129"/>
      <c r="B241" s="177"/>
      <c r="C241" s="93"/>
      <c r="D241" s="105">
        <v>512241</v>
      </c>
      <c r="E241" s="106" t="s">
        <v>422</v>
      </c>
      <c r="F241" s="17">
        <f>+K241</f>
        <v>25000</v>
      </c>
      <c r="G241" s="35"/>
      <c r="H241" s="17"/>
      <c r="I241" s="17"/>
      <c r="J241" s="17"/>
      <c r="K241" s="17">
        <v>25000</v>
      </c>
      <c r="L241" s="17">
        <f>+Q241</f>
        <v>25000</v>
      </c>
      <c r="M241" s="35"/>
      <c r="N241" s="17"/>
      <c r="O241" s="17"/>
      <c r="P241" s="17"/>
      <c r="Q241" s="17">
        <v>25000</v>
      </c>
      <c r="R241" s="64"/>
      <c r="S241" s="64"/>
      <c r="T241" s="64"/>
      <c r="U241" s="226"/>
      <c r="W241" s="43" t="e">
        <f t="shared" si="22"/>
        <v>#DIV/0!</v>
      </c>
      <c r="X241" s="43">
        <f t="shared" si="23"/>
        <v>0</v>
      </c>
    </row>
    <row r="242" spans="1:24" s="3" customFormat="1" ht="18" customHeight="1">
      <c r="A242" s="129"/>
      <c r="B242" s="177"/>
      <c r="C242" s="93"/>
      <c r="D242" s="105">
        <v>512251</v>
      </c>
      <c r="E242" s="148" t="s">
        <v>396</v>
      </c>
      <c r="F242" s="17">
        <f>+G242+H242+I242+K242</f>
        <v>410000</v>
      </c>
      <c r="G242" s="35"/>
      <c r="H242" s="17">
        <v>400000</v>
      </c>
      <c r="I242" s="17"/>
      <c r="J242" s="17"/>
      <c r="K242" s="17">
        <v>10000</v>
      </c>
      <c r="L242" s="17">
        <f>+M242+N242+O242+Q242</f>
        <v>410000</v>
      </c>
      <c r="M242" s="35"/>
      <c r="N242" s="17">
        <v>400000</v>
      </c>
      <c r="O242" s="17"/>
      <c r="P242" s="17"/>
      <c r="Q242" s="17">
        <v>10000</v>
      </c>
      <c r="R242" s="64"/>
      <c r="S242" s="64"/>
      <c r="T242" s="64"/>
      <c r="U242" s="226"/>
      <c r="W242" s="43" t="e">
        <f t="shared" si="22"/>
        <v>#DIV/0!</v>
      </c>
      <c r="X242" s="43">
        <f t="shared" si="23"/>
        <v>0</v>
      </c>
    </row>
    <row r="243" spans="1:24" s="3" customFormat="1" ht="18" customHeight="1">
      <c r="A243" s="129"/>
      <c r="B243" s="177"/>
      <c r="C243" s="93"/>
      <c r="D243" s="231">
        <v>512411</v>
      </c>
      <c r="E243" s="246" t="s">
        <v>133</v>
      </c>
      <c r="F243" s="236"/>
      <c r="G243" s="247"/>
      <c r="H243" s="236"/>
      <c r="I243" s="236"/>
      <c r="J243" s="236"/>
      <c r="K243" s="236"/>
      <c r="L243" s="236">
        <f>+M243+N243+O243+Q243</f>
        <v>6192</v>
      </c>
      <c r="M243" s="247"/>
      <c r="N243" s="236"/>
      <c r="O243" s="236"/>
      <c r="P243" s="236"/>
      <c r="Q243" s="236">
        <v>6192</v>
      </c>
      <c r="R243" s="64"/>
      <c r="S243" s="64"/>
      <c r="T243" s="64"/>
      <c r="U243" s="226"/>
      <c r="V243" s="3">
        <v>6192</v>
      </c>
      <c r="W243" s="43"/>
      <c r="X243" s="43"/>
    </row>
    <row r="244" spans="1:24" s="3" customFormat="1" ht="24.75" customHeight="1">
      <c r="A244" s="129"/>
      <c r="B244" s="177"/>
      <c r="C244" s="92" t="s">
        <v>394</v>
      </c>
      <c r="D244" s="107">
        <v>512500</v>
      </c>
      <c r="E244" s="144" t="s">
        <v>414</v>
      </c>
      <c r="F244" s="18">
        <f>+G244+H244+I244+J244</f>
        <v>7300000</v>
      </c>
      <c r="G244" s="18"/>
      <c r="H244" s="18">
        <f>+H245+H247+H246</f>
        <v>7300000</v>
      </c>
      <c r="I244" s="18"/>
      <c r="J244" s="18"/>
      <c r="K244" s="18"/>
      <c r="L244" s="18">
        <f>+M244+N244+O244+P244</f>
        <v>7300000</v>
      </c>
      <c r="M244" s="18"/>
      <c r="N244" s="18">
        <f>+N245+N247+N246</f>
        <v>7300000</v>
      </c>
      <c r="O244" s="18"/>
      <c r="P244" s="18"/>
      <c r="Q244" s="18"/>
      <c r="R244" s="61"/>
      <c r="S244" s="61"/>
      <c r="T244" s="61"/>
      <c r="U244" s="226"/>
      <c r="W244" s="43" t="e">
        <f t="shared" si="22"/>
        <v>#DIV/0!</v>
      </c>
      <c r="X244" s="43" t="e">
        <f t="shared" si="23"/>
        <v>#DIV/0!</v>
      </c>
    </row>
    <row r="245" spans="1:24" s="3" customFormat="1" ht="24" customHeight="1" hidden="1">
      <c r="A245" s="129"/>
      <c r="B245" s="177"/>
      <c r="C245" s="93"/>
      <c r="D245" s="220">
        <v>512511</v>
      </c>
      <c r="E245" s="106" t="s">
        <v>134</v>
      </c>
      <c r="F245" s="17">
        <f>+G245+H245+I245+K245</f>
        <v>6630000</v>
      </c>
      <c r="G245" s="35"/>
      <c r="H245" s="17">
        <v>6630000</v>
      </c>
      <c r="I245" s="17"/>
      <c r="J245" s="17"/>
      <c r="K245" s="17"/>
      <c r="L245" s="17">
        <f>+M245+N245+O245+Q245</f>
        <v>6630000</v>
      </c>
      <c r="M245" s="35"/>
      <c r="N245" s="17">
        <v>6630000</v>
      </c>
      <c r="O245" s="17"/>
      <c r="P245" s="17"/>
      <c r="Q245" s="17"/>
      <c r="R245" s="64"/>
      <c r="S245" s="64"/>
      <c r="T245" s="64"/>
      <c r="U245" s="226"/>
      <c r="W245" s="43" t="e">
        <f t="shared" si="22"/>
        <v>#DIV/0!</v>
      </c>
      <c r="X245" s="43" t="e">
        <f t="shared" si="23"/>
        <v>#DIV/0!</v>
      </c>
    </row>
    <row r="246" spans="1:24" s="3" customFormat="1" ht="24" customHeight="1" hidden="1">
      <c r="A246" s="129"/>
      <c r="B246" s="177"/>
      <c r="C246" s="93"/>
      <c r="D246" s="220">
        <v>512521</v>
      </c>
      <c r="E246" s="106" t="s">
        <v>448</v>
      </c>
      <c r="F246" s="17">
        <f>+G246+H246+I246+K246</f>
        <v>470000</v>
      </c>
      <c r="G246" s="35"/>
      <c r="H246" s="17">
        <v>470000</v>
      </c>
      <c r="I246" s="17"/>
      <c r="J246" s="17"/>
      <c r="K246" s="17"/>
      <c r="L246" s="17">
        <f>+M246+N246+O246+Q246</f>
        <v>470000</v>
      </c>
      <c r="M246" s="35"/>
      <c r="N246" s="17">
        <v>470000</v>
      </c>
      <c r="O246" s="17"/>
      <c r="P246" s="17"/>
      <c r="Q246" s="17"/>
      <c r="R246" s="64"/>
      <c r="S246" s="64"/>
      <c r="T246" s="64"/>
      <c r="U246" s="226"/>
      <c r="W246" s="43"/>
      <c r="X246" s="43"/>
    </row>
    <row r="247" spans="1:24" s="3" customFormat="1" ht="24" customHeight="1" hidden="1">
      <c r="A247" s="129"/>
      <c r="B247" s="177"/>
      <c r="C247" s="93"/>
      <c r="D247" s="105">
        <v>512531</v>
      </c>
      <c r="E247" s="148" t="s">
        <v>395</v>
      </c>
      <c r="F247" s="17">
        <f>+G247+H247+I247+K247</f>
        <v>200000</v>
      </c>
      <c r="G247" s="35"/>
      <c r="H247" s="17">
        <v>200000</v>
      </c>
      <c r="I247" s="17"/>
      <c r="J247" s="17"/>
      <c r="K247" s="17"/>
      <c r="L247" s="17">
        <f>+M247+N247+O247+Q247</f>
        <v>200000</v>
      </c>
      <c r="M247" s="35"/>
      <c r="N247" s="17">
        <v>200000</v>
      </c>
      <c r="O247" s="17"/>
      <c r="P247" s="17"/>
      <c r="Q247" s="17"/>
      <c r="R247" s="64"/>
      <c r="S247" s="64"/>
      <c r="T247" s="64"/>
      <c r="U247" s="226"/>
      <c r="W247" s="43" t="e">
        <f t="shared" si="22"/>
        <v>#DIV/0!</v>
      </c>
      <c r="X247" s="43" t="e">
        <f t="shared" si="23"/>
        <v>#DIV/0!</v>
      </c>
    </row>
    <row r="248" spans="1:24" s="43" customFormat="1" ht="24.75" customHeight="1">
      <c r="A248" s="358" t="s">
        <v>135</v>
      </c>
      <c r="B248" s="358"/>
      <c r="C248" s="358"/>
      <c r="D248" s="358"/>
      <c r="E248" s="358"/>
      <c r="F248" s="18">
        <f>+I236+I232+I216+I223+I70+I43+I219+I221</f>
        <v>685028569.3399999</v>
      </c>
      <c r="G248" s="18">
        <f>+G236+G232+G216+G223+G70+G43</f>
        <v>1512</v>
      </c>
      <c r="H248" s="18">
        <f>+H236+H232+H216+H223+H70+H43</f>
        <v>11642804</v>
      </c>
      <c r="I248" s="18">
        <f>+I236+I232+I216+I223+I70+I43+I219+I221</f>
        <v>685028569.3399999</v>
      </c>
      <c r="J248" s="18"/>
      <c r="K248" s="18">
        <f>+K236+K232+K216+K223+K70+K43+K219+K222</f>
        <v>19954499.61</v>
      </c>
      <c r="L248" s="18">
        <f aca="true" t="shared" si="24" ref="L248:Q248">+L236+L232+L216+L223+L70+L43+L219+L221</f>
        <v>800522682.39</v>
      </c>
      <c r="M248" s="18">
        <f t="shared" si="24"/>
        <v>772887</v>
      </c>
      <c r="N248" s="18">
        <f t="shared" si="24"/>
        <v>11642804</v>
      </c>
      <c r="O248" s="18">
        <f t="shared" si="24"/>
        <v>767812491.78</v>
      </c>
      <c r="P248" s="18">
        <f t="shared" si="24"/>
        <v>0</v>
      </c>
      <c r="Q248" s="18">
        <f t="shared" si="24"/>
        <v>20294499.61</v>
      </c>
      <c r="R248" s="61"/>
      <c r="S248" s="61"/>
      <c r="T248" s="61"/>
      <c r="U248" s="226"/>
      <c r="V248" s="3"/>
      <c r="W248" s="43">
        <f t="shared" si="22"/>
        <v>0</v>
      </c>
      <c r="X248" s="43">
        <f t="shared" si="23"/>
        <v>0</v>
      </c>
    </row>
    <row r="249" spans="1:22" s="43" customFormat="1" ht="24.75" customHeight="1">
      <c r="A249" s="28"/>
      <c r="B249" s="28"/>
      <c r="C249" s="28"/>
      <c r="D249" s="28"/>
      <c r="E249" s="28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226"/>
      <c r="V249" s="3"/>
    </row>
    <row r="250" spans="1:22" s="43" customFormat="1" ht="24.75" customHeight="1">
      <c r="A250" s="28"/>
      <c r="B250" s="28"/>
      <c r="C250" s="28"/>
      <c r="D250" s="28"/>
      <c r="E250" s="28"/>
      <c r="F250" s="61"/>
      <c r="G250" s="61"/>
      <c r="H250" s="61"/>
      <c r="I250" s="61"/>
      <c r="J250" s="61"/>
      <c r="K250" s="61"/>
      <c r="L250" s="61"/>
      <c r="M250" s="3"/>
      <c r="N250" s="73"/>
      <c r="U250" s="226"/>
      <c r="V250" s="3"/>
    </row>
    <row r="251" spans="1:22" s="43" customFormat="1" ht="24.75" customHeight="1">
      <c r="A251" s="28"/>
      <c r="B251" s="28"/>
      <c r="C251" s="28"/>
      <c r="D251" s="28"/>
      <c r="E251" s="28"/>
      <c r="F251" s="61"/>
      <c r="G251" s="61"/>
      <c r="H251" s="61"/>
      <c r="I251" s="61"/>
      <c r="J251" s="61"/>
      <c r="K251" s="61"/>
      <c r="L251" s="61"/>
      <c r="M251" s="3"/>
      <c r="N251" s="73"/>
      <c r="U251" s="226"/>
      <c r="V251" s="3"/>
    </row>
    <row r="252" spans="1:22" s="43" customFormat="1" ht="15.75" customHeight="1">
      <c r="A252" s="28"/>
      <c r="B252" s="28"/>
      <c r="C252" s="28"/>
      <c r="D252" s="28"/>
      <c r="E252" s="28"/>
      <c r="F252" s="44"/>
      <c r="H252" s="3"/>
      <c r="M252" s="3"/>
      <c r="N252" s="3"/>
      <c r="U252" s="226"/>
      <c r="V252" s="3"/>
    </row>
    <row r="253" spans="1:22" s="43" customFormat="1" ht="15" customHeight="1">
      <c r="A253" s="85" t="s">
        <v>136</v>
      </c>
      <c r="B253" s="85"/>
      <c r="C253" s="85"/>
      <c r="D253" s="85"/>
      <c r="E253" s="86"/>
      <c r="F253" s="87"/>
      <c r="G253" s="87"/>
      <c r="H253" s="88"/>
      <c r="I253" s="87"/>
      <c r="J253" s="87"/>
      <c r="K253" s="87"/>
      <c r="L253" s="359" t="s">
        <v>397</v>
      </c>
      <c r="M253" s="359"/>
      <c r="N253" s="359"/>
      <c r="U253" s="226"/>
      <c r="V253" s="3"/>
    </row>
    <row r="254" spans="1:22" s="43" customFormat="1" ht="1.5" customHeight="1">
      <c r="A254" s="85"/>
      <c r="B254" s="85"/>
      <c r="C254" s="85"/>
      <c r="D254" s="85"/>
      <c r="E254" s="86"/>
      <c r="F254" s="88"/>
      <c r="G254" s="87"/>
      <c r="H254" s="88"/>
      <c r="I254" s="87"/>
      <c r="J254" s="87"/>
      <c r="K254" s="87"/>
      <c r="M254" s="3"/>
      <c r="N254" s="3"/>
      <c r="U254" s="226"/>
      <c r="V254" s="3"/>
    </row>
    <row r="255" spans="1:22" s="43" customFormat="1" ht="24.75" customHeight="1">
      <c r="A255" s="89" t="s">
        <v>137</v>
      </c>
      <c r="B255" s="85"/>
      <c r="C255" s="85"/>
      <c r="D255" s="85"/>
      <c r="F255" s="87"/>
      <c r="G255" s="87"/>
      <c r="H255" s="87"/>
      <c r="I255" s="87"/>
      <c r="J255" s="87"/>
      <c r="K255" s="87"/>
      <c r="L255" s="85" t="s">
        <v>137</v>
      </c>
      <c r="M255" s="76"/>
      <c r="N255" s="76"/>
      <c r="O255" s="76"/>
      <c r="U255" s="226"/>
      <c r="V255" s="3"/>
    </row>
    <row r="256" spans="1:22" s="43" customFormat="1" ht="14.25">
      <c r="A256" s="85" t="s">
        <v>138</v>
      </c>
      <c r="B256" s="85"/>
      <c r="C256" s="85"/>
      <c r="D256" s="85"/>
      <c r="F256" s="87"/>
      <c r="G256" s="87"/>
      <c r="H256" s="88"/>
      <c r="I256" s="87"/>
      <c r="J256" s="87"/>
      <c r="K256" s="87"/>
      <c r="L256" s="87" t="s">
        <v>140</v>
      </c>
      <c r="M256" s="3"/>
      <c r="N256" s="3"/>
      <c r="U256" s="226"/>
      <c r="V256" s="3"/>
    </row>
    <row r="257" spans="1:22" s="43" customFormat="1" ht="14.25">
      <c r="A257" s="85" t="s">
        <v>139</v>
      </c>
      <c r="B257" s="85"/>
      <c r="C257" s="85"/>
      <c r="D257" s="85"/>
      <c r="E257" s="86"/>
      <c r="F257" s="87"/>
      <c r="G257" s="87"/>
      <c r="H257" s="88"/>
      <c r="I257" s="87"/>
      <c r="J257" s="87"/>
      <c r="K257" s="87"/>
      <c r="M257" s="3"/>
      <c r="N257" s="3"/>
      <c r="U257" s="226"/>
      <c r="V257" s="3"/>
    </row>
    <row r="258" spans="1:22" s="43" customFormat="1" ht="10.5" customHeight="1">
      <c r="A258" s="85"/>
      <c r="B258" s="85"/>
      <c r="C258" s="85"/>
      <c r="D258" s="85"/>
      <c r="E258" s="86"/>
      <c r="F258" s="87"/>
      <c r="G258" s="87"/>
      <c r="H258" s="88"/>
      <c r="I258" s="87"/>
      <c r="J258" s="87"/>
      <c r="K258" s="87"/>
      <c r="M258" s="3"/>
      <c r="N258" s="3"/>
      <c r="U258" s="226"/>
      <c r="V258" s="3"/>
    </row>
    <row r="259" spans="1:22" s="43" customFormat="1" ht="10.5" customHeight="1">
      <c r="A259" s="85"/>
      <c r="B259" s="85"/>
      <c r="C259" s="85"/>
      <c r="D259" s="85"/>
      <c r="E259" s="86"/>
      <c r="F259" s="87"/>
      <c r="G259" s="87"/>
      <c r="H259" s="88"/>
      <c r="I259" s="87"/>
      <c r="J259" s="87"/>
      <c r="K259" s="87"/>
      <c r="M259" s="3"/>
      <c r="N259" s="3"/>
      <c r="U259" s="226"/>
      <c r="V259" s="3"/>
    </row>
    <row r="260" spans="1:22" s="43" customFormat="1" ht="14.25">
      <c r="A260" s="85"/>
      <c r="B260" s="85"/>
      <c r="C260" s="85"/>
      <c r="D260" s="85"/>
      <c r="E260" s="86"/>
      <c r="F260" s="90"/>
      <c r="G260" s="87"/>
      <c r="H260" s="88"/>
      <c r="L260" s="74"/>
      <c r="M260" s="3"/>
      <c r="N260" s="3"/>
      <c r="U260" s="226"/>
      <c r="V260" s="3"/>
    </row>
    <row r="261" spans="1:23" s="43" customFormat="1" ht="15" customHeight="1">
      <c r="A261" s="85"/>
      <c r="B261" s="85"/>
      <c r="C261" s="85"/>
      <c r="D261" s="85"/>
      <c r="E261" s="86"/>
      <c r="F261" s="87"/>
      <c r="G261" s="87"/>
      <c r="H261" s="88"/>
      <c r="I261" s="87"/>
      <c r="J261" s="87"/>
      <c r="K261" s="87"/>
      <c r="M261" s="3"/>
      <c r="N261" s="3"/>
      <c r="U261" s="226"/>
      <c r="V261" s="3"/>
      <c r="W261" s="43">
        <v>38000</v>
      </c>
    </row>
    <row r="262" spans="1:23" s="43" customFormat="1" ht="15" customHeight="1">
      <c r="A262" s="85"/>
      <c r="B262" s="85"/>
      <c r="C262" s="85"/>
      <c r="D262" s="85"/>
      <c r="E262" s="86"/>
      <c r="F262" s="87"/>
      <c r="G262" s="87"/>
      <c r="H262" s="88"/>
      <c r="J262" s="87"/>
      <c r="K262" s="88"/>
      <c r="L262" s="3"/>
      <c r="M262" s="3"/>
      <c r="N262" s="3"/>
      <c r="U262" s="226"/>
      <c r="V262" s="3"/>
      <c r="W262" s="43">
        <f>+W261/117</f>
        <v>324.78632478632477</v>
      </c>
    </row>
    <row r="263" spans="1:22" s="43" customFormat="1" ht="15" customHeight="1">
      <c r="A263" s="85"/>
      <c r="B263" s="85"/>
      <c r="C263" s="85"/>
      <c r="D263" s="85"/>
      <c r="E263" s="86"/>
      <c r="F263" s="87"/>
      <c r="G263" s="87"/>
      <c r="H263" s="88"/>
      <c r="J263" s="87"/>
      <c r="K263" s="88"/>
      <c r="L263" s="3"/>
      <c r="M263" s="3"/>
      <c r="N263" s="3"/>
      <c r="U263" s="226"/>
      <c r="V263" s="3"/>
    </row>
    <row r="264" spans="1:22" s="43" customFormat="1" ht="15" customHeight="1">
      <c r="A264" s="85"/>
      <c r="B264" s="85"/>
      <c r="C264" s="85"/>
      <c r="D264" s="85"/>
      <c r="E264" s="86"/>
      <c r="F264" s="87"/>
      <c r="G264" s="87"/>
      <c r="H264" s="88"/>
      <c r="J264" s="87"/>
      <c r="K264" s="88"/>
      <c r="L264" s="3"/>
      <c r="M264" s="3"/>
      <c r="N264" s="3"/>
      <c r="U264" s="226"/>
      <c r="V264" s="3"/>
    </row>
    <row r="265" spans="1:22" s="43" customFormat="1" ht="15" customHeight="1">
      <c r="A265" s="85"/>
      <c r="B265" s="85"/>
      <c r="C265" s="85"/>
      <c r="D265" s="85"/>
      <c r="E265" s="86"/>
      <c r="F265" s="87"/>
      <c r="G265" s="87"/>
      <c r="H265" s="88"/>
      <c r="J265" s="87"/>
      <c r="K265" s="88"/>
      <c r="L265" s="3"/>
      <c r="M265" s="3"/>
      <c r="N265" s="3"/>
      <c r="U265" s="226"/>
      <c r="V265" s="3"/>
    </row>
    <row r="266" spans="1:22" s="43" customFormat="1" ht="15" customHeight="1">
      <c r="A266" s="85"/>
      <c r="B266" s="85"/>
      <c r="C266" s="85"/>
      <c r="D266" s="85"/>
      <c r="E266" s="86"/>
      <c r="F266" s="87"/>
      <c r="G266" s="87"/>
      <c r="H266" s="88"/>
      <c r="J266" s="87"/>
      <c r="K266" s="88"/>
      <c r="L266" s="3"/>
      <c r="M266" s="3"/>
      <c r="N266" s="3"/>
      <c r="U266" s="226"/>
      <c r="V266" s="3"/>
    </row>
    <row r="267" spans="1:22" s="43" customFormat="1" ht="15" customHeight="1">
      <c r="A267" s="85"/>
      <c r="B267" s="85"/>
      <c r="C267" s="85"/>
      <c r="D267" s="85"/>
      <c r="E267" s="86"/>
      <c r="F267" s="87"/>
      <c r="G267" s="87"/>
      <c r="H267" s="88"/>
      <c r="J267" s="87"/>
      <c r="K267" s="88"/>
      <c r="L267" s="3"/>
      <c r="M267" s="3"/>
      <c r="N267" s="3"/>
      <c r="U267" s="226"/>
      <c r="V267" s="3"/>
    </row>
    <row r="268" spans="1:22" s="43" customFormat="1" ht="15" customHeight="1">
      <c r="A268" s="85"/>
      <c r="B268" s="85"/>
      <c r="C268" s="85"/>
      <c r="D268" s="85"/>
      <c r="E268" s="86"/>
      <c r="F268" s="87"/>
      <c r="G268" s="87"/>
      <c r="H268" s="88"/>
      <c r="J268" s="87"/>
      <c r="K268" s="88"/>
      <c r="L268" s="3"/>
      <c r="M268" s="3"/>
      <c r="N268" s="3"/>
      <c r="U268" s="226"/>
      <c r="V268" s="3"/>
    </row>
    <row r="269" spans="1:22" s="43" customFormat="1" ht="15" customHeight="1">
      <c r="A269" s="85"/>
      <c r="B269" s="85"/>
      <c r="C269" s="85"/>
      <c r="D269" s="85"/>
      <c r="E269" s="86"/>
      <c r="F269" s="87"/>
      <c r="G269" s="87"/>
      <c r="H269" s="88"/>
      <c r="J269" s="87"/>
      <c r="K269" s="88"/>
      <c r="L269" s="3"/>
      <c r="M269" s="3"/>
      <c r="N269" s="3"/>
      <c r="U269" s="226"/>
      <c r="V269" s="3"/>
    </row>
    <row r="270" spans="1:22" s="43" customFormat="1" ht="15" customHeight="1">
      <c r="A270" s="85"/>
      <c r="B270" s="85"/>
      <c r="C270" s="85"/>
      <c r="D270" s="85"/>
      <c r="E270" s="86"/>
      <c r="F270" s="87"/>
      <c r="G270" s="87"/>
      <c r="H270" s="88"/>
      <c r="J270" s="87"/>
      <c r="K270" s="88"/>
      <c r="L270" s="3"/>
      <c r="M270" s="3"/>
      <c r="N270" s="3"/>
      <c r="U270" s="226"/>
      <c r="V270" s="3"/>
    </row>
    <row r="271" spans="1:22" s="43" customFormat="1" ht="15" customHeight="1">
      <c r="A271" s="85"/>
      <c r="B271" s="85"/>
      <c r="C271" s="85"/>
      <c r="D271" s="85"/>
      <c r="E271" s="86"/>
      <c r="F271" s="87"/>
      <c r="G271" s="87"/>
      <c r="H271" s="88"/>
      <c r="J271" s="87"/>
      <c r="K271" s="88"/>
      <c r="L271" s="3"/>
      <c r="M271" s="3"/>
      <c r="N271" s="3"/>
      <c r="U271" s="226"/>
      <c r="V271" s="3"/>
    </row>
    <row r="272" spans="1:22" s="43" customFormat="1" ht="15" customHeight="1">
      <c r="A272" s="85"/>
      <c r="B272" s="85"/>
      <c r="C272" s="85"/>
      <c r="D272" s="85"/>
      <c r="E272" s="86"/>
      <c r="F272" s="87"/>
      <c r="G272" s="87"/>
      <c r="H272" s="88"/>
      <c r="J272" s="87"/>
      <c r="K272" s="88"/>
      <c r="L272" s="3"/>
      <c r="M272" s="3"/>
      <c r="N272" s="3"/>
      <c r="U272" s="226"/>
      <c r="V272" s="3"/>
    </row>
    <row r="273" spans="1:22" s="43" customFormat="1" ht="15" customHeight="1">
      <c r="A273" s="85"/>
      <c r="B273" s="85"/>
      <c r="C273" s="85"/>
      <c r="D273" s="85"/>
      <c r="E273" s="86"/>
      <c r="F273" s="87"/>
      <c r="G273" s="87"/>
      <c r="H273" s="88"/>
      <c r="J273" s="87"/>
      <c r="K273" s="88"/>
      <c r="L273" s="3"/>
      <c r="M273" s="3"/>
      <c r="N273" s="3"/>
      <c r="U273" s="226"/>
      <c r="V273" s="3"/>
    </row>
    <row r="274" spans="1:22" s="43" customFormat="1" ht="15" customHeight="1">
      <c r="A274" s="85"/>
      <c r="B274" s="85"/>
      <c r="C274" s="85"/>
      <c r="D274" s="85"/>
      <c r="E274" s="86"/>
      <c r="F274" s="87"/>
      <c r="G274" s="87"/>
      <c r="H274" s="88"/>
      <c r="J274" s="87"/>
      <c r="K274" s="88"/>
      <c r="L274" s="3"/>
      <c r="M274" s="3"/>
      <c r="N274" s="3"/>
      <c r="U274" s="226"/>
      <c r="V274" s="3"/>
    </row>
    <row r="275" spans="1:22" s="43" customFormat="1" ht="15" customHeight="1">
      <c r="A275" s="85"/>
      <c r="B275" s="85"/>
      <c r="C275" s="85"/>
      <c r="D275" s="85"/>
      <c r="E275" s="86"/>
      <c r="F275" s="87"/>
      <c r="G275" s="87"/>
      <c r="H275" s="88"/>
      <c r="J275" s="87"/>
      <c r="K275" s="88"/>
      <c r="L275" s="3"/>
      <c r="M275" s="3"/>
      <c r="N275" s="3"/>
      <c r="U275" s="226"/>
      <c r="V275" s="3"/>
    </row>
    <row r="276" spans="1:22" s="43" customFormat="1" ht="15" customHeight="1">
      <c r="A276" s="85"/>
      <c r="B276" s="85"/>
      <c r="C276" s="85"/>
      <c r="D276" s="85"/>
      <c r="E276" s="86"/>
      <c r="F276" s="87"/>
      <c r="G276" s="87"/>
      <c r="H276" s="88"/>
      <c r="J276" s="87"/>
      <c r="K276" s="88"/>
      <c r="L276" s="3"/>
      <c r="M276" s="3"/>
      <c r="N276" s="3"/>
      <c r="U276" s="226"/>
      <c r="V276" s="3"/>
    </row>
    <row r="277" spans="1:22" s="43" customFormat="1" ht="15" customHeight="1">
      <c r="A277" s="85"/>
      <c r="B277" s="85"/>
      <c r="C277" s="85"/>
      <c r="D277" s="85"/>
      <c r="E277" s="86"/>
      <c r="F277" s="87"/>
      <c r="G277" s="87"/>
      <c r="H277" s="88"/>
      <c r="J277" s="87"/>
      <c r="K277" s="88"/>
      <c r="L277" s="3"/>
      <c r="M277" s="3"/>
      <c r="N277" s="3"/>
      <c r="U277" s="226"/>
      <c r="V277" s="3"/>
    </row>
    <row r="278" spans="1:22" s="43" customFormat="1" ht="15" customHeight="1">
      <c r="A278" s="85"/>
      <c r="B278" s="85"/>
      <c r="C278" s="85"/>
      <c r="D278" s="85"/>
      <c r="E278" s="86"/>
      <c r="F278" s="87"/>
      <c r="G278" s="87"/>
      <c r="H278" s="88"/>
      <c r="J278" s="87"/>
      <c r="K278" s="87"/>
      <c r="M278" s="73"/>
      <c r="N278" s="73"/>
      <c r="U278" s="226"/>
      <c r="V278" s="3"/>
    </row>
    <row r="279" spans="1:22" s="43" customFormat="1" ht="12">
      <c r="A279" s="45"/>
      <c r="B279" s="45"/>
      <c r="C279" s="45"/>
      <c r="D279" s="45"/>
      <c r="E279" s="46"/>
      <c r="H279" s="3"/>
      <c r="M279" s="3"/>
      <c r="N279" s="3"/>
      <c r="U279" s="226"/>
      <c r="V279" s="3"/>
    </row>
    <row r="280" spans="1:22" s="43" customFormat="1" ht="12">
      <c r="A280" s="45"/>
      <c r="B280" s="45"/>
      <c r="C280" s="45"/>
      <c r="D280" s="45"/>
      <c r="E280" s="46"/>
      <c r="H280" s="3"/>
      <c r="M280" s="3"/>
      <c r="N280" s="3"/>
      <c r="U280" s="226"/>
      <c r="V280" s="3"/>
    </row>
    <row r="281" spans="1:22" s="43" customFormat="1" ht="12">
      <c r="A281" s="45"/>
      <c r="B281" s="45"/>
      <c r="C281" s="45"/>
      <c r="D281" s="45"/>
      <c r="E281" s="46"/>
      <c r="H281" s="3"/>
      <c r="M281" s="3"/>
      <c r="N281" s="3"/>
      <c r="U281" s="226"/>
      <c r="V281" s="3"/>
    </row>
    <row r="282" spans="1:22" s="43" customFormat="1" ht="12">
      <c r="A282" s="45"/>
      <c r="B282" s="45"/>
      <c r="C282" s="45"/>
      <c r="D282" s="45"/>
      <c r="E282" s="46"/>
      <c r="H282" s="3"/>
      <c r="M282" s="3"/>
      <c r="N282" s="3"/>
      <c r="U282" s="226"/>
      <c r="V282" s="3"/>
    </row>
    <row r="283" spans="1:22" s="43" customFormat="1" ht="12">
      <c r="A283" s="45"/>
      <c r="B283" s="45"/>
      <c r="C283" s="45"/>
      <c r="D283" s="45"/>
      <c r="E283" s="46"/>
      <c r="H283" s="3"/>
      <c r="M283" s="3"/>
      <c r="N283" s="3"/>
      <c r="U283" s="226"/>
      <c r="V283" s="3"/>
    </row>
    <row r="284" spans="1:22" s="43" customFormat="1" ht="12">
      <c r="A284" s="45"/>
      <c r="B284" s="45"/>
      <c r="C284" s="45"/>
      <c r="D284" s="45"/>
      <c r="E284" s="46"/>
      <c r="H284" s="3"/>
      <c r="M284" s="3"/>
      <c r="N284" s="3"/>
      <c r="U284" s="226"/>
      <c r="V284" s="3"/>
    </row>
    <row r="285" spans="1:22" s="43" customFormat="1" ht="12">
      <c r="A285" s="45"/>
      <c r="B285" s="45"/>
      <c r="C285" s="45"/>
      <c r="D285" s="45"/>
      <c r="E285" s="46"/>
      <c r="H285" s="3"/>
      <c r="M285" s="3"/>
      <c r="N285" s="3"/>
      <c r="U285" s="226"/>
      <c r="V285" s="3"/>
    </row>
    <row r="286" spans="1:22" s="43" customFormat="1" ht="12">
      <c r="A286" s="45"/>
      <c r="B286" s="45"/>
      <c r="C286" s="45"/>
      <c r="D286" s="45"/>
      <c r="E286" s="46"/>
      <c r="H286" s="3"/>
      <c r="M286" s="3"/>
      <c r="N286" s="3"/>
      <c r="U286" s="226"/>
      <c r="V286" s="3"/>
    </row>
    <row r="287" spans="1:22" s="43" customFormat="1" ht="12">
      <c r="A287" s="45"/>
      <c r="B287" s="45"/>
      <c r="C287" s="45"/>
      <c r="D287" s="45"/>
      <c r="E287" s="46"/>
      <c r="H287" s="3"/>
      <c r="M287" s="3"/>
      <c r="N287" s="3"/>
      <c r="U287" s="226"/>
      <c r="V287" s="3"/>
    </row>
    <row r="288" spans="1:22" s="43" customFormat="1" ht="12">
      <c r="A288" s="45"/>
      <c r="B288" s="45"/>
      <c r="C288" s="45"/>
      <c r="D288" s="45"/>
      <c r="E288" s="46"/>
      <c r="H288" s="3"/>
      <c r="M288" s="3"/>
      <c r="N288" s="3"/>
      <c r="U288" s="226"/>
      <c r="V288" s="3"/>
    </row>
    <row r="289" spans="1:22" s="43" customFormat="1" ht="12">
      <c r="A289" s="45"/>
      <c r="B289" s="45"/>
      <c r="C289" s="45"/>
      <c r="D289" s="45"/>
      <c r="E289" s="46"/>
      <c r="H289" s="3"/>
      <c r="M289" s="3"/>
      <c r="N289" s="3"/>
      <c r="U289" s="226"/>
      <c r="V289" s="3"/>
    </row>
    <row r="290" spans="1:22" s="43" customFormat="1" ht="12">
      <c r="A290" s="45"/>
      <c r="B290" s="45"/>
      <c r="C290" s="45"/>
      <c r="D290" s="45"/>
      <c r="E290" s="46"/>
      <c r="H290" s="3"/>
      <c r="M290" s="3"/>
      <c r="N290" s="3"/>
      <c r="U290" s="226"/>
      <c r="V290" s="3"/>
    </row>
    <row r="291" spans="1:22" s="43" customFormat="1" ht="12">
      <c r="A291" s="45"/>
      <c r="B291" s="45"/>
      <c r="C291" s="45"/>
      <c r="D291" s="45"/>
      <c r="E291" s="46"/>
      <c r="H291" s="3"/>
      <c r="M291" s="3"/>
      <c r="N291" s="3"/>
      <c r="U291" s="226"/>
      <c r="V291" s="3"/>
    </row>
    <row r="292" spans="1:22" s="43" customFormat="1" ht="61.5">
      <c r="A292" s="45"/>
      <c r="B292" s="45"/>
      <c r="C292" s="45"/>
      <c r="D292" s="45"/>
      <c r="E292" s="95" t="s">
        <v>438</v>
      </c>
      <c r="H292" s="3"/>
      <c r="M292" s="3"/>
      <c r="N292" s="3"/>
      <c r="U292" s="226"/>
      <c r="V292" s="3"/>
    </row>
    <row r="293" spans="1:22" s="43" customFormat="1" ht="28.5">
      <c r="A293" s="45"/>
      <c r="B293" s="45"/>
      <c r="C293" s="45"/>
      <c r="D293" s="45"/>
      <c r="E293" s="96" t="s">
        <v>440</v>
      </c>
      <c r="H293" s="3"/>
      <c r="M293" s="3"/>
      <c r="N293" s="3">
        <f>101.8*1.2</f>
        <v>122.16</v>
      </c>
      <c r="U293" s="226"/>
      <c r="V293" s="3"/>
    </row>
    <row r="294" spans="1:22" s="43" customFormat="1" ht="12">
      <c r="A294" s="45"/>
      <c r="B294" s="45"/>
      <c r="C294" s="45"/>
      <c r="D294" s="45"/>
      <c r="E294" s="46"/>
      <c r="H294" s="3"/>
      <c r="M294" s="3"/>
      <c r="N294" s="3"/>
      <c r="U294" s="226"/>
      <c r="V294" s="3"/>
    </row>
    <row r="295" spans="1:22" s="43" customFormat="1" ht="12">
      <c r="A295" s="45"/>
      <c r="B295" s="45"/>
      <c r="C295" s="45"/>
      <c r="D295" s="45"/>
      <c r="E295" s="46"/>
      <c r="H295" s="3"/>
      <c r="M295" s="3"/>
      <c r="N295" s="3"/>
      <c r="U295" s="226"/>
      <c r="V295" s="3"/>
    </row>
    <row r="296" spans="1:22" s="43" customFormat="1" ht="12">
      <c r="A296" s="45"/>
      <c r="B296" s="45"/>
      <c r="C296" s="45"/>
      <c r="D296" s="45"/>
      <c r="E296" s="46"/>
      <c r="F296" s="43">
        <f>69398.8+4832250.2+193205.75+1000000</f>
        <v>6094854.75</v>
      </c>
      <c r="H296" s="3"/>
      <c r="M296" s="3"/>
      <c r="N296" s="3"/>
      <c r="U296" s="226"/>
      <c r="V296" s="3"/>
    </row>
    <row r="297" spans="1:22" s="43" customFormat="1" ht="12">
      <c r="A297" s="45"/>
      <c r="B297" s="45"/>
      <c r="C297" s="45"/>
      <c r="D297" s="45"/>
      <c r="E297" s="46"/>
      <c r="H297" s="3"/>
      <c r="M297" s="3"/>
      <c r="N297" s="3"/>
      <c r="U297" s="226"/>
      <c r="V297" s="3"/>
    </row>
    <row r="298" spans="1:22" s="43" customFormat="1" ht="12">
      <c r="A298" s="45"/>
      <c r="B298" s="45"/>
      <c r="C298" s="45"/>
      <c r="D298" s="45"/>
      <c r="E298" s="46"/>
      <c r="H298" s="3"/>
      <c r="M298" s="3"/>
      <c r="N298" s="3"/>
      <c r="U298" s="226"/>
      <c r="V298" s="3"/>
    </row>
    <row r="299" spans="1:22" s="43" customFormat="1" ht="12">
      <c r="A299" s="45"/>
      <c r="B299" s="45"/>
      <c r="C299" s="45"/>
      <c r="D299" s="45"/>
      <c r="E299" s="46"/>
      <c r="H299" s="3"/>
      <c r="M299" s="3"/>
      <c r="N299" s="3"/>
      <c r="U299" s="226"/>
      <c r="V299" s="3"/>
    </row>
    <row r="300" spans="1:22" s="43" customFormat="1" ht="12">
      <c r="A300" s="45"/>
      <c r="B300" s="45"/>
      <c r="C300" s="45"/>
      <c r="D300" s="45"/>
      <c r="E300" s="46"/>
      <c r="H300" s="3"/>
      <c r="J300" s="3"/>
      <c r="M300" s="3"/>
      <c r="N300" s="3"/>
      <c r="U300" s="226"/>
      <c r="V300" s="3"/>
    </row>
    <row r="301" spans="1:22" s="43" customFormat="1" ht="12">
      <c r="A301" s="45"/>
      <c r="B301" s="45"/>
      <c r="C301" s="67"/>
      <c r="D301" s="67"/>
      <c r="E301" s="46"/>
      <c r="H301" s="3">
        <f>457084000+13154000+47867000+15827000+24612000+86776000+2487000+3859000+8518558</f>
        <v>660184558</v>
      </c>
      <c r="J301" s="3"/>
      <c r="M301" s="3"/>
      <c r="N301" s="3"/>
      <c r="U301" s="226"/>
      <c r="V301" s="3"/>
    </row>
    <row r="302" spans="1:22" s="43" customFormat="1" ht="48">
      <c r="A302" s="45"/>
      <c r="B302" s="45"/>
      <c r="C302" s="67">
        <v>18852131</v>
      </c>
      <c r="D302" s="67">
        <f>465067000+18852131</f>
        <v>483919131</v>
      </c>
      <c r="E302" s="53" t="s">
        <v>441</v>
      </c>
      <c r="F302" s="53" t="s">
        <v>479</v>
      </c>
      <c r="G302" s="3"/>
      <c r="H302" s="3">
        <f>483919131+93201755+15076538.89+1100000+6094854.75</f>
        <v>599392279.64</v>
      </c>
      <c r="I302" s="3">
        <f>+I45+I47+I48</f>
        <v>543860000</v>
      </c>
      <c r="J302" s="3">
        <f>+H302-I302</f>
        <v>55532279.639999986</v>
      </c>
      <c r="L302" s="266">
        <f>+O45+O47+O48</f>
        <v>599392280</v>
      </c>
      <c r="M302" s="3">
        <f>+H302-L302</f>
        <v>-0.36000001430511475</v>
      </c>
      <c r="N302" s="3"/>
      <c r="U302" s="226"/>
      <c r="V302" s="3"/>
    </row>
    <row r="303" spans="3:22" s="1" customFormat="1" ht="36">
      <c r="C303" s="3">
        <v>-49131</v>
      </c>
      <c r="D303" s="3">
        <f>10636000-49131</f>
        <v>10586869</v>
      </c>
      <c r="E303" s="53" t="s">
        <v>398</v>
      </c>
      <c r="F303" s="53" t="s">
        <v>478</v>
      </c>
      <c r="G303" s="3"/>
      <c r="H303" s="3">
        <f>10586869+1787320+660263.13+200000</f>
        <v>13234452.13</v>
      </c>
      <c r="I303" s="3">
        <f>+I65+I66+I109+I50</f>
        <v>15641000</v>
      </c>
      <c r="J303" s="3">
        <f aca="true" t="shared" si="25" ref="J303:J310">+H303-I303</f>
        <v>-2406547.869999999</v>
      </c>
      <c r="K303" s="43"/>
      <c r="L303" s="266">
        <f>+O65+O66+O109+O50</f>
        <v>13234452</v>
      </c>
      <c r="M303" s="3">
        <f aca="true" t="shared" si="26" ref="M303:M311">+H303-L303</f>
        <v>0.13000000081956387</v>
      </c>
      <c r="N303" s="3"/>
      <c r="U303" s="226"/>
      <c r="V303" s="3"/>
    </row>
    <row r="304" spans="3:22" s="1" customFormat="1" ht="48">
      <c r="C304" s="3">
        <v>115000</v>
      </c>
      <c r="D304" s="3">
        <f>17896000+115000-304617</f>
        <v>17706383</v>
      </c>
      <c r="E304" s="53" t="s">
        <v>442</v>
      </c>
      <c r="F304" s="53" t="s">
        <v>472</v>
      </c>
      <c r="G304" s="3"/>
      <c r="H304" s="3">
        <f>17706383+100000</f>
        <v>17806383</v>
      </c>
      <c r="I304" s="3">
        <f>+I193</f>
        <v>16207000</v>
      </c>
      <c r="J304" s="3">
        <f t="shared" si="25"/>
        <v>1599383</v>
      </c>
      <c r="K304" s="43"/>
      <c r="L304" s="266">
        <f>+O193</f>
        <v>17806383</v>
      </c>
      <c r="M304" s="3">
        <f t="shared" si="26"/>
        <v>0</v>
      </c>
      <c r="N304" s="3"/>
      <c r="U304" s="226"/>
      <c r="V304" s="3"/>
    </row>
    <row r="305" spans="3:22" s="1" customFormat="1" ht="12">
      <c r="C305" s="3"/>
      <c r="D305" s="3">
        <v>8518558</v>
      </c>
      <c r="E305" s="53" t="s">
        <v>399</v>
      </c>
      <c r="F305" s="53" t="s">
        <v>399</v>
      </c>
      <c r="G305" s="3"/>
      <c r="H305" s="3">
        <v>8518558</v>
      </c>
      <c r="I305" s="3">
        <f>+I194</f>
        <v>8518558</v>
      </c>
      <c r="J305" s="3">
        <f t="shared" si="25"/>
        <v>0</v>
      </c>
      <c r="K305" s="43"/>
      <c r="L305" s="266">
        <f>+O194</f>
        <v>8518558</v>
      </c>
      <c r="M305" s="3">
        <f t="shared" si="26"/>
        <v>0</v>
      </c>
      <c r="N305" s="3"/>
      <c r="U305" s="226"/>
      <c r="V305" s="3"/>
    </row>
    <row r="306" spans="3:22" s="1" customFormat="1" ht="36">
      <c r="C306" s="3"/>
      <c r="D306" s="3">
        <f>25650000+210461</f>
        <v>25860461</v>
      </c>
      <c r="E306" s="53" t="s">
        <v>469</v>
      </c>
      <c r="F306" s="53" t="s">
        <v>471</v>
      </c>
      <c r="G306" s="3"/>
      <c r="H306" s="3">
        <f>25860461+130000+85000+2248000</f>
        <v>28323461</v>
      </c>
      <c r="I306" s="3">
        <f>+I188+I189+I190+I191+I196</f>
        <v>25995000</v>
      </c>
      <c r="J306" s="3">
        <f t="shared" si="25"/>
        <v>2328461</v>
      </c>
      <c r="K306" s="43"/>
      <c r="L306" s="266">
        <f>+O188+O189+O190+O191+O196</f>
        <v>28323461</v>
      </c>
      <c r="M306" s="3">
        <f t="shared" si="26"/>
        <v>0</v>
      </c>
      <c r="N306" s="3"/>
      <c r="U306" s="226"/>
      <c r="V306" s="3"/>
    </row>
    <row r="307" spans="3:22" s="1" customFormat="1" ht="48">
      <c r="C307" s="3"/>
      <c r="D307" s="3">
        <f>23939000+1346368.4+1431907</f>
        <v>26717275.4</v>
      </c>
      <c r="E307" s="53" t="s">
        <v>400</v>
      </c>
      <c r="F307" s="53" t="s">
        <v>470</v>
      </c>
      <c r="G307" s="3"/>
      <c r="H307" s="3">
        <v>26717275</v>
      </c>
      <c r="I307" s="3">
        <f>+I76+I77+I78+I79+I179+I180</f>
        <v>21923252</v>
      </c>
      <c r="J307" s="3">
        <f t="shared" si="25"/>
        <v>4794023</v>
      </c>
      <c r="K307" s="43"/>
      <c r="L307" s="266">
        <f>+O76+O77+O78+O79+O179+O180</f>
        <v>26717275</v>
      </c>
      <c r="M307" s="3">
        <f t="shared" si="26"/>
        <v>0</v>
      </c>
      <c r="N307" s="3"/>
      <c r="U307" s="226"/>
      <c r="V307" s="3"/>
    </row>
    <row r="308" spans="3:22" s="1" customFormat="1" ht="18" customHeight="1">
      <c r="C308" s="3">
        <v>1351186</v>
      </c>
      <c r="D308" s="3">
        <f>34831000-115000+1351186+511204+3149750</f>
        <v>39728140</v>
      </c>
      <c r="E308" s="53" t="s">
        <v>401</v>
      </c>
      <c r="F308" s="53" t="s">
        <v>482</v>
      </c>
      <c r="G308" s="3"/>
      <c r="H308" s="3">
        <f>39734140+6229007</f>
        <v>45963147</v>
      </c>
      <c r="I308" s="3">
        <f>+I73+I74+I81+I82+I84+I86+I87+I88+I89+I90+I91+I94+I124+I95+I96+I97+I100+I105+I106+I107+I108+I112+I114+I116+I120+I127+I132+I135+I136+I140+I143+I144+I145+I146+I147+I148+I149+I150+I151+I154+I155+I157+I158+I159+I160+I161+I162+I164+I165+I166+I167+I168+I171+I172+I173+I175+I177+I181+I182+I183+I185+I197+I199+I200+I206+I207+I208+I209+I210+I211+I212+I213+I214+I215+I225+I205+I138+I203+I118+I201+I230+I117+I202+I103+I83+I228+I221</f>
        <v>35642835.78</v>
      </c>
      <c r="J308" s="3">
        <f t="shared" si="25"/>
        <v>10320311.219999999</v>
      </c>
      <c r="K308" s="43"/>
      <c r="L308" s="266">
        <f>+O73+O74+O81+O82+O84+O86+O87+O88+O89+O90+O91+O94+O124+O95+O96+O97+O100+O105+O106+O107+O108+O112+O114+O116+O120+O127+O132+O135+O136+O140+O143+O144+O145+O146+O147+O148+O149+O150+O151+O154+O155+O157+O158+O159+O160+O161+O162+O164+O165+O166+O167+O168+O171+O172+O173+O175+O177+O181+O229+O182+O183+O185+O197+O199+O200+O206+O207+O208+O209+O210+O211+O212+O213+O214+O215+O225+O205+O138+O203+O118+O201+O230+O117+O202+O103+O83+O228+O221</f>
        <v>45963146.78</v>
      </c>
      <c r="M308" s="3">
        <f t="shared" si="26"/>
        <v>0.2199999988079071</v>
      </c>
      <c r="N308" s="3"/>
      <c r="U308" s="226"/>
      <c r="V308" s="3"/>
    </row>
    <row r="309" spans="3:22" s="1" customFormat="1" ht="24">
      <c r="C309" s="3"/>
      <c r="D309" s="3">
        <f>3800000+84194+6400000+8800000+118473-1</f>
        <v>19202666</v>
      </c>
      <c r="E309" s="53" t="s">
        <v>480</v>
      </c>
      <c r="F309" s="53" t="s">
        <v>483</v>
      </c>
      <c r="G309" s="3"/>
      <c r="H309" s="3">
        <f>19202666+1904270</f>
        <v>21106936</v>
      </c>
      <c r="I309" s="3">
        <f>+I58+I59+I68</f>
        <v>11116513.559999999</v>
      </c>
      <c r="J309" s="3">
        <f t="shared" si="25"/>
        <v>9990422.440000001</v>
      </c>
      <c r="K309" s="43"/>
      <c r="L309" s="266">
        <f>+O58+O59+O68+O61+O62+O51</f>
        <v>21106936</v>
      </c>
      <c r="M309" s="3">
        <f t="shared" si="26"/>
        <v>0</v>
      </c>
      <c r="N309" s="3"/>
      <c r="U309" s="226"/>
      <c r="V309" s="3"/>
    </row>
    <row r="310" spans="3:22" s="1" customFormat="1" ht="12">
      <c r="C310" s="3"/>
      <c r="D310" s="3">
        <v>3000000</v>
      </c>
      <c r="E310" s="53" t="s">
        <v>402</v>
      </c>
      <c r="F310" s="53" t="s">
        <v>402</v>
      </c>
      <c r="G310" s="3"/>
      <c r="H310" s="3">
        <v>3250000</v>
      </c>
      <c r="I310" s="3">
        <f>+I220</f>
        <v>2624410</v>
      </c>
      <c r="J310" s="3">
        <f t="shared" si="25"/>
        <v>625590</v>
      </c>
      <c r="K310" s="43"/>
      <c r="L310" s="266">
        <f>+O220</f>
        <v>3250000</v>
      </c>
      <c r="M310" s="3">
        <f t="shared" si="26"/>
        <v>0</v>
      </c>
      <c r="N310" s="3"/>
      <c r="U310" s="226"/>
      <c r="V310" s="3"/>
    </row>
    <row r="311" spans="3:22" s="1" customFormat="1" ht="12">
      <c r="C311" s="3"/>
      <c r="D311" s="3"/>
      <c r="E311" s="53" t="s">
        <v>443</v>
      </c>
      <c r="F311" s="53" t="s">
        <v>443</v>
      </c>
      <c r="G311" s="3"/>
      <c r="H311" s="3"/>
      <c r="J311" s="3"/>
      <c r="K311" s="3"/>
      <c r="L311" s="3"/>
      <c r="M311" s="3">
        <f t="shared" si="26"/>
        <v>0</v>
      </c>
      <c r="N311" s="3"/>
      <c r="U311" s="226"/>
      <c r="V311" s="3"/>
    </row>
    <row r="312" spans="3:22" s="1" customFormat="1" ht="12">
      <c r="C312" s="3"/>
      <c r="D312" s="3"/>
      <c r="E312" s="2"/>
      <c r="F312" s="3"/>
      <c r="G312" s="3"/>
      <c r="H312" s="244">
        <f>+H302+H303+H304+H305+H306+H307+H308+H309+H310+H311</f>
        <v>764312491.77</v>
      </c>
      <c r="J312" s="3"/>
      <c r="M312" s="3"/>
      <c r="N312" s="3"/>
      <c r="U312" s="226"/>
      <c r="V312" s="3"/>
    </row>
    <row r="313" spans="3:22" s="1" customFormat="1" ht="12">
      <c r="C313" s="3"/>
      <c r="D313" s="3"/>
      <c r="E313" s="2"/>
      <c r="F313" s="1" t="s">
        <v>415</v>
      </c>
      <c r="H313" s="3">
        <f>+O25</f>
        <v>767812491.77</v>
      </c>
      <c r="I313" s="94">
        <f>+H312-H313</f>
        <v>-3500000</v>
      </c>
      <c r="J313" s="3">
        <f>+J307+J308+J304</f>
        <v>16713717.219999999</v>
      </c>
      <c r="M313" s="3"/>
      <c r="N313" s="3"/>
      <c r="U313" s="226"/>
      <c r="V313" s="3"/>
    </row>
    <row r="314" spans="3:22" s="1" customFormat="1" ht="12">
      <c r="C314" s="3"/>
      <c r="D314" s="3"/>
      <c r="E314" s="55"/>
      <c r="F314" s="1" t="s">
        <v>444</v>
      </c>
      <c r="H314" s="3">
        <f>+O248-H312</f>
        <v>3500000.0099999905</v>
      </c>
      <c r="J314" s="3">
        <f>+J313+H314</f>
        <v>20213717.22999999</v>
      </c>
      <c r="M314" s="3"/>
      <c r="N314" s="3"/>
      <c r="U314" s="226"/>
      <c r="V314" s="3"/>
    </row>
    <row r="315" spans="3:22" s="1" customFormat="1" ht="12">
      <c r="C315" s="3"/>
      <c r="D315" s="3"/>
      <c r="E315" s="2"/>
      <c r="H315" s="3"/>
      <c r="J315" s="3"/>
      <c r="M315" s="3"/>
      <c r="N315" s="3"/>
      <c r="U315" s="226"/>
      <c r="V315" s="3"/>
    </row>
    <row r="316" spans="3:22" s="1" customFormat="1" ht="12">
      <c r="C316" s="3"/>
      <c r="D316" s="3"/>
      <c r="E316" s="2"/>
      <c r="H316" s="3"/>
      <c r="L316" s="43">
        <f>511204.36+3149750+1351186</f>
        <v>5012140.359999999</v>
      </c>
      <c r="M316" s="3"/>
      <c r="N316" s="3"/>
      <c r="U316" s="226"/>
      <c r="V316" s="3"/>
    </row>
    <row r="317" spans="3:22" s="1" customFormat="1" ht="12">
      <c r="C317" s="3"/>
      <c r="E317" s="2"/>
      <c r="H317" s="2" t="s">
        <v>403</v>
      </c>
      <c r="M317" s="3"/>
      <c r="N317" s="3"/>
      <c r="U317" s="226"/>
      <c r="V317" s="3"/>
    </row>
    <row r="318" spans="3:22" s="1" customFormat="1" ht="24">
      <c r="C318" s="3">
        <v>3664755</v>
      </c>
      <c r="D318" s="94">
        <f>89537000+3664755</f>
        <v>93201755</v>
      </c>
      <c r="E318" s="53" t="s">
        <v>441</v>
      </c>
      <c r="F318" s="53" t="s">
        <v>473</v>
      </c>
      <c r="H318" s="54">
        <v>86776000</v>
      </c>
      <c r="M318" s="3"/>
      <c r="N318" s="3"/>
      <c r="U318" s="226"/>
      <c r="V318" s="3"/>
    </row>
    <row r="319" spans="3:22" s="1" customFormat="1" ht="24">
      <c r="C319" s="3">
        <v>-9680</v>
      </c>
      <c r="D319" s="94">
        <f>1797000-9680</f>
        <v>1787320</v>
      </c>
      <c r="E319" s="53" t="s">
        <v>398</v>
      </c>
      <c r="F319" s="53" t="s">
        <v>474</v>
      </c>
      <c r="H319" s="54">
        <v>2487000</v>
      </c>
      <c r="I319" s="3">
        <f>+H318+H319</f>
        <v>89263000</v>
      </c>
      <c r="M319" s="3"/>
      <c r="N319" s="3"/>
      <c r="U319" s="226"/>
      <c r="V319" s="3"/>
    </row>
    <row r="320" spans="3:22" s="1" customFormat="1" ht="12">
      <c r="C320" s="3"/>
      <c r="D320" s="94"/>
      <c r="E320" s="53"/>
      <c r="F320" s="53"/>
      <c r="H320" s="54">
        <v>3859000</v>
      </c>
      <c r="K320" s="1">
        <f>39416.82/160</f>
        <v>246.355125</v>
      </c>
      <c r="M320" s="3"/>
      <c r="N320" s="3"/>
      <c r="U320" s="226"/>
      <c r="V320" s="3"/>
    </row>
    <row r="321" spans="3:22" s="1" customFormat="1" ht="12">
      <c r="C321" s="54">
        <v>93523.54</v>
      </c>
      <c r="D321" s="289">
        <v>100000</v>
      </c>
      <c r="E321" s="53" t="s">
        <v>475</v>
      </c>
      <c r="F321" s="53" t="s">
        <v>442</v>
      </c>
      <c r="H321" s="54">
        <v>80000</v>
      </c>
      <c r="I321" s="360">
        <f>+H320-H321-H322-H324-H325-H323</f>
        <v>0</v>
      </c>
      <c r="K321" s="1">
        <f>6314.64/24</f>
        <v>263.11</v>
      </c>
      <c r="M321" s="3"/>
      <c r="N321" s="3"/>
      <c r="U321" s="226"/>
      <c r="V321" s="3"/>
    </row>
    <row r="322" spans="3:22" s="1" customFormat="1" ht="12">
      <c r="C322" s="54">
        <v>104684</v>
      </c>
      <c r="D322" s="289">
        <v>130000</v>
      </c>
      <c r="E322" s="53" t="s">
        <v>404</v>
      </c>
      <c r="F322" s="53" t="s">
        <v>404</v>
      </c>
      <c r="H322" s="54">
        <v>150000</v>
      </c>
      <c r="I322" s="360"/>
      <c r="M322" s="3"/>
      <c r="N322" s="3"/>
      <c r="U322" s="226"/>
      <c r="V322" s="3"/>
    </row>
    <row r="323" spans="3:22" s="1" customFormat="1" ht="12">
      <c r="C323" s="54">
        <v>60864</v>
      </c>
      <c r="D323" s="289">
        <v>85000</v>
      </c>
      <c r="E323" s="53" t="s">
        <v>405</v>
      </c>
      <c r="F323" s="53" t="s">
        <v>405</v>
      </c>
      <c r="H323" s="54">
        <v>85000</v>
      </c>
      <c r="I323" s="360"/>
      <c r="M323" s="3"/>
      <c r="N323" s="3"/>
      <c r="U323" s="226"/>
      <c r="V323" s="3"/>
    </row>
    <row r="324" spans="2:22" s="1" customFormat="1" ht="12">
      <c r="B324" s="3">
        <f>+C324-D324</f>
        <v>-176464.3500000001</v>
      </c>
      <c r="C324" s="54">
        <v>2171535.65</v>
      </c>
      <c r="D324" s="289">
        <f>1148000+1200000</f>
        <v>2348000</v>
      </c>
      <c r="E324" s="53" t="s">
        <v>406</v>
      </c>
      <c r="F324" s="53" t="s">
        <v>406</v>
      </c>
      <c r="H324" s="54">
        <f>3200000+1516000-2646000-922000</f>
        <v>1148000</v>
      </c>
      <c r="I324" s="360"/>
      <c r="J324" s="3"/>
      <c r="M324" s="3"/>
      <c r="N324" s="3"/>
      <c r="U324" s="226"/>
      <c r="V324" s="3"/>
    </row>
    <row r="325" spans="3:22" s="1" customFormat="1" ht="24">
      <c r="C325" s="3">
        <f>2955297.39-95290-1100000</f>
        <v>1760007.3900000001</v>
      </c>
      <c r="D325" s="94">
        <f>4569000+1148000-95290+607297</f>
        <v>6229007</v>
      </c>
      <c r="E325" s="53" t="s">
        <v>476</v>
      </c>
      <c r="F325" s="53" t="s">
        <v>477</v>
      </c>
      <c r="H325" s="54">
        <v>2396000</v>
      </c>
      <c r="I325" s="360"/>
      <c r="M325" s="3"/>
      <c r="N325" s="3"/>
      <c r="U325" s="226"/>
      <c r="V325" s="3"/>
    </row>
    <row r="326" spans="3:22" s="1" customFormat="1" ht="12">
      <c r="C326" s="3">
        <f>+D321+D322+D323+D324</f>
        <v>2663000</v>
      </c>
      <c r="D326" s="94"/>
      <c r="E326" s="53" t="s">
        <v>407</v>
      </c>
      <c r="F326" s="53" t="s">
        <v>407</v>
      </c>
      <c r="H326" s="54"/>
      <c r="M326" s="3"/>
      <c r="N326" s="3"/>
      <c r="U326" s="226"/>
      <c r="V326" s="3"/>
    </row>
    <row r="327" spans="3:22" s="1" customFormat="1" ht="12">
      <c r="C327" s="3"/>
      <c r="D327" s="94"/>
      <c r="E327" s="53" t="s">
        <v>408</v>
      </c>
      <c r="F327" s="53" t="s">
        <v>408</v>
      </c>
      <c r="H327" s="54"/>
      <c r="M327" s="3"/>
      <c r="N327" s="3"/>
      <c r="U327" s="226"/>
      <c r="V327" s="3"/>
    </row>
    <row r="328" spans="3:22" s="1" customFormat="1" ht="12">
      <c r="C328" s="3"/>
      <c r="D328" s="94">
        <f>+D321+D322+D323+D324+D325</f>
        <v>8892007</v>
      </c>
      <c r="E328" s="2"/>
      <c r="F328" s="2"/>
      <c r="H328" s="54">
        <f>+H318+H319+H320</f>
        <v>93122000</v>
      </c>
      <c r="J328" s="1">
        <f>1148000+100000+130000+85000</f>
        <v>1463000</v>
      </c>
      <c r="M328" s="3"/>
      <c r="N328" s="3"/>
      <c r="U328" s="226"/>
      <c r="V328" s="3"/>
    </row>
    <row r="329" spans="3:22" s="1" customFormat="1" ht="12">
      <c r="C329" s="3"/>
      <c r="D329" s="94">
        <f>2955297.39+4569000-95290+1463000</f>
        <v>8892007.39</v>
      </c>
      <c r="E329" s="2"/>
      <c r="F329" s="2"/>
      <c r="H329" s="3">
        <f>+H328+H326+H327</f>
        <v>93122000</v>
      </c>
      <c r="M329" s="3"/>
      <c r="N329" s="3"/>
      <c r="U329" s="226"/>
      <c r="V329" s="3"/>
    </row>
    <row r="330" spans="3:22" s="1" customFormat="1" ht="12">
      <c r="C330" s="3">
        <f>+C321+C322+C324+C323</f>
        <v>2430607.19</v>
      </c>
      <c r="D330" s="94">
        <f>+D328-D329</f>
        <v>-0.39000000059604645</v>
      </c>
      <c r="E330" s="56">
        <f>2563000+5621710</f>
        <v>8184710</v>
      </c>
      <c r="F330" s="56" t="s">
        <v>409</v>
      </c>
      <c r="H330" s="3">
        <v>323000</v>
      </c>
      <c r="M330" s="3"/>
      <c r="N330" s="3"/>
      <c r="U330" s="226"/>
      <c r="V330" s="3"/>
    </row>
    <row r="331" spans="3:4" ht="15">
      <c r="C331" s="3">
        <f>5948326.71-C330</f>
        <v>3517719.52</v>
      </c>
      <c r="D331" s="94"/>
    </row>
    <row r="332" spans="3:22" s="1" customFormat="1" ht="12">
      <c r="C332" s="3"/>
      <c r="D332" s="94"/>
      <c r="E332" s="2"/>
      <c r="F332" s="1" t="s">
        <v>413</v>
      </c>
      <c r="H332" s="3">
        <v>84783000</v>
      </c>
      <c r="M332" s="3"/>
      <c r="N332" s="3"/>
      <c r="U332" s="226"/>
      <c r="V332" s="3"/>
    </row>
    <row r="333" spans="3:22" s="1" customFormat="1" ht="12">
      <c r="C333" s="3"/>
      <c r="D333" s="75"/>
      <c r="E333" s="2"/>
      <c r="H333" s="3"/>
      <c r="M333" s="3"/>
      <c r="N333" s="3"/>
      <c r="U333" s="226"/>
      <c r="V333" s="3"/>
    </row>
    <row r="334" spans="3:22" s="1" customFormat="1" ht="12">
      <c r="C334" s="3"/>
      <c r="D334" s="75">
        <f>4569000+1463000</f>
        <v>6032000</v>
      </c>
      <c r="E334" s="2">
        <f>2248000-1148000</f>
        <v>1100000</v>
      </c>
      <c r="F334" s="1">
        <f>6032000+2955297-95290</f>
        <v>8892007</v>
      </c>
      <c r="H334" s="3"/>
      <c r="M334" s="3"/>
      <c r="N334" s="3"/>
      <c r="U334" s="226"/>
      <c r="V334" s="3"/>
    </row>
    <row r="335" spans="3:22" s="1" customFormat="1" ht="12">
      <c r="C335" s="3"/>
      <c r="D335" s="75">
        <v>2955297</v>
      </c>
      <c r="E335" s="2"/>
      <c r="H335" s="3"/>
      <c r="M335" s="3"/>
      <c r="N335" s="3"/>
      <c r="U335" s="226"/>
      <c r="V335" s="3"/>
    </row>
    <row r="336" spans="4:22" s="1" customFormat="1" ht="12">
      <c r="D336" s="75">
        <v>-95290</v>
      </c>
      <c r="E336" s="2"/>
      <c r="H336" s="3"/>
      <c r="M336" s="3"/>
      <c r="N336" s="3"/>
      <c r="U336" s="226"/>
      <c r="V336" s="3"/>
    </row>
    <row r="337" spans="4:22" s="1" customFormat="1" ht="12">
      <c r="D337" s="75"/>
      <c r="E337" s="2">
        <f>1463000+1100000</f>
        <v>2563000</v>
      </c>
      <c r="H337" s="3"/>
      <c r="M337" s="3"/>
      <c r="N337" s="3"/>
      <c r="U337" s="226"/>
      <c r="V337" s="3"/>
    </row>
    <row r="338" spans="4:22" s="1" customFormat="1" ht="12">
      <c r="D338" s="75"/>
      <c r="E338" s="2">
        <f>2955299-1100000</f>
        <v>1855299</v>
      </c>
      <c r="F338" s="1">
        <f>2955299-1200000</f>
        <v>1755299</v>
      </c>
      <c r="H338" s="3"/>
      <c r="M338" s="3"/>
      <c r="N338" s="3"/>
      <c r="U338" s="226"/>
      <c r="V338" s="3"/>
    </row>
    <row r="339" spans="4:9" ht="15">
      <c r="D339" s="75"/>
      <c r="E339" s="2">
        <f>1463000-315000</f>
        <v>1148000</v>
      </c>
      <c r="H339" s="3">
        <v>89537000</v>
      </c>
      <c r="I339" s="43">
        <v>3664755</v>
      </c>
    </row>
    <row r="340" spans="4:9" ht="15">
      <c r="D340" s="75"/>
      <c r="H340" s="3">
        <v>1797000</v>
      </c>
      <c r="I340" s="43">
        <v>-9680</v>
      </c>
    </row>
    <row r="341" spans="5:22" s="1" customFormat="1" ht="12">
      <c r="E341" s="2">
        <f>4569000+1148000</f>
        <v>5717000</v>
      </c>
      <c r="H341" s="3">
        <v>1463000</v>
      </c>
      <c r="I341" s="43">
        <v>2959299</v>
      </c>
      <c r="M341" s="3"/>
      <c r="N341" s="3"/>
      <c r="U341" s="226"/>
      <c r="V341" s="3"/>
    </row>
    <row r="342" spans="5:9" ht="15">
      <c r="E342" s="2">
        <v>-95290</v>
      </c>
      <c r="H342" s="3">
        <v>4569000</v>
      </c>
      <c r="I342" s="43">
        <v>-95290</v>
      </c>
    </row>
    <row r="343" spans="5:22" s="1" customFormat="1" ht="12">
      <c r="E343" s="2">
        <f>SUM(E341:E342)</f>
        <v>5621710</v>
      </c>
      <c r="F343" s="1">
        <f>4569000-95290+1755299</f>
        <v>6229009</v>
      </c>
      <c r="H343" s="3">
        <f>SUM(H339:H342)</f>
        <v>97366000</v>
      </c>
      <c r="I343" s="43">
        <f>SUM(I339:I342)</f>
        <v>6519084</v>
      </c>
      <c r="J343" s="3">
        <f>SUM(H343:I343)</f>
        <v>103885084</v>
      </c>
      <c r="M343" s="3"/>
      <c r="N343" s="3"/>
      <c r="U343" s="226"/>
      <c r="V343" s="3"/>
    </row>
    <row r="345" ht="15">
      <c r="F345" s="1">
        <f>+F343+2663000</f>
        <v>8892009</v>
      </c>
    </row>
    <row r="346" ht="15">
      <c r="F346" s="1">
        <f>1463000+4569000+2955299-95290</f>
        <v>8892009</v>
      </c>
    </row>
  </sheetData>
  <sheetProtection selectLockedCells="1" selectUnlockedCells="1"/>
  <mergeCells count="76">
    <mergeCell ref="D12:E12"/>
    <mergeCell ref="D14:E14"/>
    <mergeCell ref="A15:A16"/>
    <mergeCell ref="A7:A9"/>
    <mergeCell ref="B7:B9"/>
    <mergeCell ref="C7:C9"/>
    <mergeCell ref="D7:D9"/>
    <mergeCell ref="E7:E9"/>
    <mergeCell ref="D11:E11"/>
    <mergeCell ref="B15:B16"/>
    <mergeCell ref="F7:K7"/>
    <mergeCell ref="L7:Q7"/>
    <mergeCell ref="F8:F9"/>
    <mergeCell ref="G8:I8"/>
    <mergeCell ref="J8:J9"/>
    <mergeCell ref="K8:K9"/>
    <mergeCell ref="L8:L9"/>
    <mergeCell ref="M8:O8"/>
    <mergeCell ref="P8:P9"/>
    <mergeCell ref="Q8:Q9"/>
    <mergeCell ref="C15:C16"/>
    <mergeCell ref="D19:E19"/>
    <mergeCell ref="D21:E21"/>
    <mergeCell ref="D23:E23"/>
    <mergeCell ref="D24:E24"/>
    <mergeCell ref="D17:E17"/>
    <mergeCell ref="A25:E25"/>
    <mergeCell ref="A38:A40"/>
    <mergeCell ref="B38:B40"/>
    <mergeCell ref="C38:C40"/>
    <mergeCell ref="D38:D40"/>
    <mergeCell ref="E38:E40"/>
    <mergeCell ref="F38:K38"/>
    <mergeCell ref="L38:Q38"/>
    <mergeCell ref="F39:F40"/>
    <mergeCell ref="G39:I39"/>
    <mergeCell ref="J39:J40"/>
    <mergeCell ref="K39:K40"/>
    <mergeCell ref="L39:L40"/>
    <mergeCell ref="M39:O39"/>
    <mergeCell ref="P39:P40"/>
    <mergeCell ref="Q39:Q40"/>
    <mergeCell ref="A42:E42"/>
    <mergeCell ref="D43:E43"/>
    <mergeCell ref="D44:E44"/>
    <mergeCell ref="D46:E46"/>
    <mergeCell ref="D49:E49"/>
    <mergeCell ref="D52:E52"/>
    <mergeCell ref="A54:A55"/>
    <mergeCell ref="D63:E63"/>
    <mergeCell ref="A64:A65"/>
    <mergeCell ref="B64:B65"/>
    <mergeCell ref="D67:E67"/>
    <mergeCell ref="D70:E70"/>
    <mergeCell ref="D71:E71"/>
    <mergeCell ref="B73:B74"/>
    <mergeCell ref="B76:B79"/>
    <mergeCell ref="B81:B82"/>
    <mergeCell ref="B86:B91"/>
    <mergeCell ref="B94:B97"/>
    <mergeCell ref="D101:E101"/>
    <mergeCell ref="D110:E110"/>
    <mergeCell ref="B116:B118"/>
    <mergeCell ref="D133:E133"/>
    <mergeCell ref="D141:E141"/>
    <mergeCell ref="B143:B151"/>
    <mergeCell ref="D236:E236"/>
    <mergeCell ref="A248:E248"/>
    <mergeCell ref="L253:N253"/>
    <mergeCell ref="I321:I325"/>
    <mergeCell ref="D169:E169"/>
    <mergeCell ref="D216:E216"/>
    <mergeCell ref="D219:E219"/>
    <mergeCell ref="D221:E221"/>
    <mergeCell ref="D223:E223"/>
    <mergeCell ref="D232:E232"/>
  </mergeCells>
  <dataValidations count="4">
    <dataValidation type="whole" allowBlank="1" showErrorMessage="1" errorTitle="Upozorenje" error="Niste uneli korektnu vrednost!&#10;Ponovite unos." sqref="N192 H192">
      <formula1>0</formula1>
      <formula2>999999999999</formula2>
    </dataValidation>
    <dataValidation type="whole" allowBlank="1" showErrorMessage="1" errorTitle="Upozorenje" error="Niste uneli korektnu vrednost!&#10;Ponovite unos." sqref="N186 H23:H24 N133:N134 N63 N113 N101:N103 N169:N170 N75 N115 N80 N153 N85 N119 N93 N71 N23:N24 H186 H133:H134 H63 H113 H101:H103 H169:H170 H75 H115 H80 H153 H85 H119 H93 H71">
      <formula1>0</formula1>
      <formula2>999999999</formula2>
    </dataValidation>
    <dataValidation allowBlank="1" showErrorMessage="1" errorTitle="Upozorenje" error="Niste uneli korektnu vrednost!&#10;Ponovite unos." sqref="O170:T170 O45:T45 M39:M40 H19 G22:G24 G39:G40 M42 G8:G9 G42 H17 M44:N45 M115 O115:T115 M171:T185 M50:T51 M116:T118 M58:T62 M54:M57 M64:T66 M63 M119 O119:T119 M68:T69 M67 M186:M187 M120:T132 O186:T187 M70:M71 M72:T74 O75:T75 M133:M134 M239:M243 M75 O134:T134 M76:T79 M188:T191 M135:T140 O80:T80 M80 M81:T84 O85:T85 M141:M143 M85 N142:T143 M86:T92 M144:T151 M192 O93:T93 M93 O192:T192 O99:T100 M152:M153 O152:T153 M104:T109 M154:T168 M110 O112:T113 M111:N112 M232 M94:T98 M169:M170 M113 M46:M49 Q193:T222 G245:G247 M193:P220 M222:P222 M221 Q23:T24 K23:K24 N19 M22:M24 M8:M9 G233:K235 M114:T114 M99:M103 M233:T235 I170:K170 I45:K45 G228:J231 G236:G237 G44:H45 G115 I115:K115 G171:K185 G50:K51 G116:K118 G58:K62 G54:G57 G64:K66 N17 G63 G119 I119:K119 G68:K69 G67 G186:G187 G120:K132 I186:K187 G70:G71">
      <formula1>0</formula1>
      <formula2>0</formula2>
    </dataValidation>
    <dataValidation allowBlank="1" showErrorMessage="1" errorTitle="Upozorenje" error="Niste uneli korektnu vrednost!&#10;Ponovite unos." sqref="G72:K74 I75:K75 G133:G134 F227:J227 G75 I134:K134 G76:K79 G188:K191 G135:K140 I80:K80 G80 G81:K84 I85:K85 G141:G143 G85 H142:K143 G86:K92 G144:K151 G192 I93:K93 G93 I192:K192 I99:K100 G152:G153 I152:K153 G104:K109 G154:K168 G110 I112:K113 G111:H112 G232 G94:K98 G169:G170 G113 G46:G49 K193:K222 G239:G243 K225:K231 G193:J220 G222:J222 G221 G225:J226 G114:K114 G99:G103 M11:M20 G11:G20 M236:M237 M245:M247 M225:T231">
      <formula1>0</formula1>
      <formula2>0</formula2>
    </dataValidation>
  </dataValidations>
  <printOptions/>
  <pageMargins left="0.2362204724409449" right="0.31496062992125984" top="0.5905511811023623" bottom="0.5118110236220472" header="0.5118110236220472" footer="0.5118110236220472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2021-01-12T10:59:31Z</cp:lastPrinted>
  <dcterms:modified xsi:type="dcterms:W3CDTF">2021-05-25T11:40:39Z</dcterms:modified>
  <cp:category/>
  <cp:version/>
  <cp:contentType/>
  <cp:contentStatus/>
</cp:coreProperties>
</file>